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<sst xmlns="http://schemas.openxmlformats.org/spreadsheetml/2006/main" count="372" uniqueCount="170">
  <si>
    <t>Цена</t>
  </si>
  <si>
    <t>Белки</t>
  </si>
  <si>
    <t>Жиры</t>
  </si>
  <si>
    <t>Углеводы</t>
  </si>
  <si>
    <t xml:space="preserve">Завтрак </t>
  </si>
  <si>
    <t>200</t>
  </si>
  <si>
    <t>150</t>
  </si>
  <si>
    <t>Итого</t>
  </si>
  <si>
    <t>2 Завтрак</t>
  </si>
  <si>
    <t>Обед</t>
  </si>
  <si>
    <t>75</t>
  </si>
  <si>
    <t>Хлеб "Рябинушка"</t>
  </si>
  <si>
    <t>Полдник</t>
  </si>
  <si>
    <t>Ужин</t>
  </si>
  <si>
    <t>1/20</t>
  </si>
  <si>
    <t>Итого за день</t>
  </si>
  <si>
    <t xml:space="preserve">2 Завтрак </t>
  </si>
  <si>
    <t xml:space="preserve">Полдник </t>
  </si>
  <si>
    <t xml:space="preserve">Молоко кипяченое </t>
  </si>
  <si>
    <t>сад</t>
  </si>
  <si>
    <t>ясли</t>
  </si>
  <si>
    <t>697./04</t>
  </si>
  <si>
    <t>№ рец.</t>
  </si>
  <si>
    <t>698./04</t>
  </si>
  <si>
    <t>Кисель</t>
  </si>
  <si>
    <t>Макароны отварные</t>
  </si>
  <si>
    <t>510./04</t>
  </si>
  <si>
    <t>516./04</t>
  </si>
  <si>
    <t>60</t>
  </si>
  <si>
    <t>180</t>
  </si>
  <si>
    <t>ТТК-305</t>
  </si>
  <si>
    <t xml:space="preserve">Какао с молоком </t>
  </si>
  <si>
    <t>Прием пищи, наименование блюда</t>
  </si>
  <si>
    <t xml:space="preserve">Масса порции </t>
  </si>
  <si>
    <t>Пищевые вещества (г)</t>
  </si>
  <si>
    <t>Энерг. ценность (ккал)</t>
  </si>
  <si>
    <t>Витамины (мг)</t>
  </si>
  <si>
    <t>Минеральные вещества (мг)</t>
  </si>
  <si>
    <t>С</t>
  </si>
  <si>
    <t>Ca</t>
  </si>
  <si>
    <t>Fe</t>
  </si>
  <si>
    <t>2,4 группа</t>
  </si>
  <si>
    <t xml:space="preserve">ИТОГО ЗА НЕДЕЛЮ:                                    </t>
  </si>
  <si>
    <t>В среднем в день</t>
  </si>
  <si>
    <r>
      <t>В</t>
    </r>
    <r>
      <rPr>
        <vertAlign val="subscript"/>
        <sz val="10"/>
        <rFont val="Times New Roman"/>
        <family val="1"/>
      </rPr>
      <t>2</t>
    </r>
  </si>
  <si>
    <t>Хлеб "Дарницкий"</t>
  </si>
  <si>
    <t>648./04</t>
  </si>
  <si>
    <t>В.П. Гусева</t>
  </si>
  <si>
    <t>395/10</t>
  </si>
  <si>
    <t>707./04</t>
  </si>
  <si>
    <t>1./04</t>
  </si>
  <si>
    <t xml:space="preserve">Кофейный напиток с молоком </t>
  </si>
  <si>
    <t xml:space="preserve">Батон с маслом </t>
  </si>
  <si>
    <t xml:space="preserve">Генеральный директор                                                                                                                     </t>
  </si>
  <si>
    <t>Сок разливной</t>
  </si>
  <si>
    <t>11 группа: сады № 28, 30, 34, 40, 50, 50(ф), 51, 52, 54, 93, 103, 110</t>
  </si>
  <si>
    <t>3./04</t>
  </si>
  <si>
    <t>200/25</t>
  </si>
  <si>
    <t>150/25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</si>
  <si>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</si>
  <si>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</si>
  <si>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</si>
  <si>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</si>
  <si>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12 группа: сады № 7, 12, 14, 18, 21, 29, 31, 35, 39, 46, 97, 106, 115</t>
  </si>
  <si>
    <t>18 группа: сады № 8, 9, 16, 27, 62, 65, 66, 82, 86, 108, 109, 118</t>
  </si>
  <si>
    <t>17 группа: сады № 41, 44, 53, 61, 78, 80, 83, 94, 98, 104, 111, 114</t>
  </si>
  <si>
    <t>50/150</t>
  </si>
  <si>
    <t>130</t>
  </si>
  <si>
    <t>1/46,4</t>
  </si>
  <si>
    <t>1/40,6</t>
  </si>
  <si>
    <t>161./04</t>
  </si>
  <si>
    <t>ТТК-653</t>
  </si>
  <si>
    <t xml:space="preserve">Зразы мясные "Любимые" с сыром </t>
  </si>
  <si>
    <t xml:space="preserve">Экономист по ценам                                                                                                  </t>
  </si>
  <si>
    <t>20/5</t>
  </si>
  <si>
    <t>ТТК-475</t>
  </si>
  <si>
    <t>Чай полусладкий</t>
  </si>
  <si>
    <t>Напиток "Фруктовый" из сухофруктов</t>
  </si>
  <si>
    <t>200/10</t>
  </si>
  <si>
    <t>150/10</t>
  </si>
  <si>
    <t>50/30</t>
  </si>
  <si>
    <t>50</t>
  </si>
  <si>
    <t>ТТК-317</t>
  </si>
  <si>
    <t>ТТК-446</t>
  </si>
  <si>
    <t>Пюре "Янтарное"</t>
  </si>
  <si>
    <t>124/04</t>
  </si>
  <si>
    <t>ТТК-315</t>
  </si>
  <si>
    <t>Компот "Фруктовый" из кураги</t>
  </si>
  <si>
    <t>Фатхуллина Г.А.</t>
  </si>
  <si>
    <t>14 группа: сады № 10, 17, 20, 26, 49, 64, 72, 73, 75, 92, 96, 105, 120</t>
  </si>
  <si>
    <t>ТТК-62</t>
  </si>
  <si>
    <t>Салат из отварной свеклы</t>
  </si>
  <si>
    <t>170</t>
  </si>
  <si>
    <t>ТТК-129</t>
  </si>
  <si>
    <t>Салат "Здоровье"</t>
  </si>
  <si>
    <t>390./04</t>
  </si>
  <si>
    <t>Котлеты рыбные "Любительские"</t>
  </si>
  <si>
    <t>142./04</t>
  </si>
  <si>
    <t xml:space="preserve">Суп картофельный с рыбными фрикадельками </t>
  </si>
  <si>
    <t>140</t>
  </si>
  <si>
    <t>200/5</t>
  </si>
  <si>
    <t>150/5</t>
  </si>
  <si>
    <t>150/30</t>
  </si>
  <si>
    <t>Н.В. Журавлева</t>
  </si>
  <si>
    <t>Г.Н. Мартынова</t>
  </si>
  <si>
    <t>131/04</t>
  </si>
  <si>
    <t xml:space="preserve">Зам. директора по производству и качеству                                                              </t>
  </si>
  <si>
    <t>Каша рисовая вязкая</t>
  </si>
  <si>
    <r>
      <t>Щи из свежей капусты с карт. с мясн. фрикад.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со сметаной </t>
    </r>
  </si>
  <si>
    <t>200/25/5</t>
  </si>
  <si>
    <t>150/25/5</t>
  </si>
  <si>
    <t>311/04</t>
  </si>
  <si>
    <t>Каша молочная "Геркулесовая" (жидкая) с маслом</t>
  </si>
  <si>
    <t>ТТК-425</t>
  </si>
  <si>
    <t>Суп "Гречишное зёрнышко"</t>
  </si>
  <si>
    <t>Суп молочный с ячневой крупой</t>
  </si>
  <si>
    <t>71/04</t>
  </si>
  <si>
    <t>Батон с маслом с сыром</t>
  </si>
  <si>
    <t>20/5/5</t>
  </si>
  <si>
    <t>Каша пшеничная (вязкая) с сахаром</t>
  </si>
  <si>
    <t>Десерт фруктовый "Мандарин"</t>
  </si>
  <si>
    <t>ТТК-993</t>
  </si>
  <si>
    <t>Жаркое "По-деревенски"</t>
  </si>
  <si>
    <t>50/130</t>
  </si>
  <si>
    <t>ТТК- 967</t>
  </si>
  <si>
    <t>Пудинг из творога с бананами с соус сметанн "Сластена"</t>
  </si>
  <si>
    <t>100/30</t>
  </si>
  <si>
    <t>Простокваша</t>
  </si>
  <si>
    <t>Молоко кипяченое с печеньем "К кофе"</t>
  </si>
  <si>
    <t>180/16</t>
  </si>
  <si>
    <t>,</t>
  </si>
  <si>
    <t>Ведущий инженер-технолог по производству</t>
  </si>
  <si>
    <t>Л.Р. Загидуллина</t>
  </si>
  <si>
    <t>ТТК-998</t>
  </si>
  <si>
    <r>
      <t xml:space="preserve">Фрикад. рыбо- крупяные из горбуши с соус. томатн </t>
    </r>
    <r>
      <rPr>
        <b/>
        <sz val="10"/>
        <rFont val="Times New Roman"/>
        <family val="1"/>
      </rPr>
      <t xml:space="preserve"> </t>
    </r>
  </si>
  <si>
    <t xml:space="preserve">Рассольник "Ленинградский" со сметаной </t>
  </si>
  <si>
    <t xml:space="preserve">     НЕДЕЛЬНОЕ МЕНЮ ДЛЯ ОБЩЕРАЗВИВАЮЩИХ ДЕТСКИХ САДОВ С 04 .03.19 г по 07 .03.19 г    </t>
  </si>
  <si>
    <t>ПОНЕДЕЛЬНИК 04 .03</t>
  </si>
  <si>
    <t>ВТОРНИК 05 .03</t>
  </si>
  <si>
    <t>СРЕДА 06 .03</t>
  </si>
  <si>
    <t>ЧЕТВЕРГ 07 .03</t>
  </si>
  <si>
    <t>45./04</t>
  </si>
  <si>
    <t>Салат из квашеной капусты   (без лука)</t>
  </si>
  <si>
    <t>54</t>
  </si>
  <si>
    <t>40</t>
  </si>
  <si>
    <t>Винегрет овощной (без лука)</t>
  </si>
  <si>
    <t>51</t>
  </si>
  <si>
    <t>38</t>
  </si>
  <si>
    <t>ТТК-393</t>
  </si>
  <si>
    <t>Голубцы "Ленивые" с соусом смет с томат</t>
  </si>
  <si>
    <t>ТТК-372</t>
  </si>
  <si>
    <t>Компот из свежих яблок</t>
  </si>
  <si>
    <t>367./04</t>
  </si>
  <si>
    <t>Галушки из творога отварные с маслом</t>
  </si>
  <si>
    <t>195/5</t>
  </si>
  <si>
    <t>145/5</t>
  </si>
  <si>
    <t>ТТК.-988</t>
  </si>
  <si>
    <t>Плов "Восточная сказка"</t>
  </si>
  <si>
    <t>216./04</t>
  </si>
  <si>
    <t>Картофель тушеный</t>
  </si>
  <si>
    <t>ТТК-227</t>
  </si>
  <si>
    <t>Биточки "Рябушка"</t>
  </si>
  <si>
    <t>Чай полусладкий с мармеладом</t>
  </si>
  <si>
    <t>200/12</t>
  </si>
  <si>
    <t xml:space="preserve"> -</t>
  </si>
  <si>
    <t>Десерт фруктовый "Яблоко"</t>
  </si>
  <si>
    <t>124</t>
  </si>
  <si>
    <t>155</t>
  </si>
  <si>
    <t>113</t>
  </si>
  <si>
    <t>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</si>
</sst>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4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10" fillId="0" borderId="10" xfId="53" applyNumberFormat="1" applyFont="1" applyFill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53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54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2" fontId="10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5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vertical="top" wrapText="1"/>
    </xf>
    <xf numFmtId="2" fontId="10" fillId="0" borderId="12" xfId="54" applyNumberFormat="1" applyFont="1" applyFill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2" xfId="53" applyNumberFormat="1" applyFont="1" applyBorder="1" applyAlignment="1">
      <alignment horizontal="center" vertical="center"/>
      <protection/>
    </xf>
    <xf numFmtId="2" fontId="7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2" fontId="10" fillId="0" borderId="12" xfId="54" applyNumberFormat="1" applyFont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2" fontId="10" fillId="0" borderId="15" xfId="54" applyNumberFormat="1" applyFont="1" applyFill="1" applyBorder="1" applyAlignment="1">
      <alignment horizontal="center" vertical="center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18" xfId="0" applyFont="1" applyFill="1" applyBorder="1" applyAlignment="1">
      <alignment vertical="top" wrapText="1"/>
    </xf>
    <xf numFmtId="49" fontId="0" fillId="0" borderId="11" xfId="0" applyNumberFormat="1" applyBorder="1" applyAlignment="1">
      <alignment/>
    </xf>
    <xf numFmtId="49" fontId="10" fillId="0" borderId="19" xfId="0" applyNumberFormat="1" applyFont="1" applyFill="1" applyBorder="1" applyAlignment="1">
      <alignment horizontal="center" vertical="center" wrapText="1"/>
    </xf>
    <xf numFmtId="2" fontId="10" fillId="0" borderId="13" xfId="53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/>
    </xf>
    <xf numFmtId="2" fontId="10" fillId="0" borderId="12" xfId="55" applyNumberFormat="1" applyFont="1" applyFill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distributed"/>
    </xf>
    <xf numFmtId="49" fontId="9" fillId="34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9" fillId="4" borderId="12" xfId="0" applyFont="1" applyFill="1" applyBorder="1" applyAlignment="1">
      <alignment horizontal="center"/>
    </xf>
    <xf numFmtId="0" fontId="17" fillId="5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32" borderId="2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2" fontId="10" fillId="0" borderId="14" xfId="5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49" fontId="10" fillId="0" borderId="14" xfId="0" applyNumberFormat="1" applyFont="1" applyFill="1" applyBorder="1" applyAlignment="1">
      <alignment horizontal="center" vertical="center" wrapText="1"/>
    </xf>
    <xf numFmtId="2" fontId="10" fillId="0" borderId="19" xfId="53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138</xdr:row>
      <xdr:rowOff>47625</xdr:rowOff>
    </xdr:from>
    <xdr:to>
      <xdr:col>7</xdr:col>
      <xdr:colOff>180975</xdr:colOff>
      <xdr:row>140</xdr:row>
      <xdr:rowOff>180975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rcRect t="73057" r="18605" b="-1036"/>
        <a:stretch>
          <a:fillRect/>
        </a:stretch>
      </xdr:blipFill>
      <xdr:spPr>
        <a:xfrm>
          <a:off x="4324350" y="28965525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135</xdr:row>
      <xdr:rowOff>171450</xdr:rowOff>
    </xdr:from>
    <xdr:to>
      <xdr:col>7</xdr:col>
      <xdr:colOff>152400</xdr:colOff>
      <xdr:row>138</xdr:row>
      <xdr:rowOff>28575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rcRect l="38554" r="12048" b="73054"/>
        <a:stretch>
          <a:fillRect/>
        </a:stretch>
      </xdr:blipFill>
      <xdr:spPr>
        <a:xfrm>
          <a:off x="4505325" y="28517850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140</xdr:row>
      <xdr:rowOff>85725</xdr:rowOff>
    </xdr:from>
    <xdr:to>
      <xdr:col>7</xdr:col>
      <xdr:colOff>219075</xdr:colOff>
      <xdr:row>142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t="45860" b="31210"/>
        <a:stretch>
          <a:fillRect/>
        </a:stretch>
      </xdr:blipFill>
      <xdr:spPr>
        <a:xfrm>
          <a:off x="4448175" y="29384625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143</xdr:row>
      <xdr:rowOff>0</xdr:rowOff>
    </xdr:from>
    <xdr:to>
      <xdr:col>7</xdr:col>
      <xdr:colOff>276225</xdr:colOff>
      <xdr:row>145</xdr:row>
      <xdr:rowOff>85725</xdr:rowOff>
    </xdr:to>
    <xdr:pic>
      <xdr:nvPicPr>
        <xdr:cNvPr id="4" name="Picture 266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419600" y="2987040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3</xdr:row>
      <xdr:rowOff>66675</xdr:rowOff>
    </xdr:from>
    <xdr:to>
      <xdr:col>13</xdr:col>
      <xdr:colOff>400050</xdr:colOff>
      <xdr:row>4</xdr:row>
      <xdr:rowOff>180975</xdr:rowOff>
    </xdr:to>
    <xdr:pic>
      <xdr:nvPicPr>
        <xdr:cNvPr id="5" name="Picture 2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638175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4"/>
  <sheetViews>
    <sheetView tabSelected="1" zoomScale="110" zoomScaleNormal="110" zoomScalePageLayoutView="0" workbookViewId="0" topLeftCell="A121">
      <selection activeCell="AC8" sqref="AC8"/>
    </sheetView>
  </sheetViews>
  <sheetFormatPr defaultColWidth="9.00390625" defaultRowHeight="12.75"/>
  <cols>
    <col min="1" max="1" width="6.75390625" style="24" customWidth="1"/>
    <col min="2" max="2" width="26.625" style="18" customWidth="1"/>
    <col min="3" max="3" width="7.25390625" style="18" customWidth="1"/>
    <col min="4" max="4" width="6.75390625" style="18" customWidth="1"/>
    <col min="5" max="6" width="7.25390625" style="19" customWidth="1"/>
    <col min="7" max="9" width="7.00390625" style="18" customWidth="1"/>
    <col min="10" max="10" width="7.375" style="18" customWidth="1"/>
    <col min="11" max="11" width="6.875" style="18" customWidth="1"/>
    <col min="12" max="12" width="6.75390625" style="18" customWidth="1"/>
    <col min="13" max="13" width="8.125" style="18" customWidth="1"/>
    <col min="14" max="14" width="8.00390625" style="18" customWidth="1"/>
    <col min="15" max="18" width="5.625" style="0" hidden="1" customWidth="1"/>
    <col min="19" max="20" width="8.125" style="0" customWidth="1"/>
    <col min="21" max="28" width="5.625" style="0" hidden="1" customWidth="1"/>
  </cols>
  <sheetData>
    <row r="1" spans="1:29" s="16" customFormat="1" ht="15" customHeight="1">
      <c r="A1" s="24"/>
      <c r="B1" s="18"/>
      <c r="C1" s="18"/>
      <c r="D1" s="18"/>
      <c r="E1" s="19"/>
      <c r="F1" s="19"/>
      <c r="G1" s="18"/>
      <c r="H1" s="2"/>
      <c r="I1" s="30"/>
      <c r="J1" s="30"/>
      <c r="K1" s="30"/>
      <c r="L1" s="3"/>
      <c r="M1" s="3" t="s">
        <v>60</v>
      </c>
      <c r="N1" s="3"/>
      <c r="O1" s="47"/>
      <c r="P1" s="2"/>
      <c r="Q1"/>
      <c r="R1" s="3"/>
      <c r="S1" s="3"/>
      <c r="T1" s="3"/>
      <c r="U1" s="47"/>
      <c r="V1" s="2"/>
      <c r="W1" s="3"/>
      <c r="X1" s="76"/>
      <c r="Y1" s="76"/>
      <c r="Z1" s="76"/>
      <c r="AA1" s="76"/>
      <c r="AB1" s="76"/>
      <c r="AC1" s="76"/>
    </row>
    <row r="2" spans="1:29" s="16" customFormat="1" ht="15" customHeight="1">
      <c r="A2" s="99" t="s">
        <v>55</v>
      </c>
      <c r="B2" s="18"/>
      <c r="C2" s="18"/>
      <c r="D2" s="18"/>
      <c r="E2" s="19"/>
      <c r="F2" s="19"/>
      <c r="G2" s="18"/>
      <c r="H2" s="3"/>
      <c r="I2" s="3"/>
      <c r="J2" s="47"/>
      <c r="K2" s="2"/>
      <c r="L2" s="3"/>
      <c r="M2" s="3" t="s">
        <v>61</v>
      </c>
      <c r="N2" s="3"/>
      <c r="O2" s="47"/>
      <c r="P2" s="3"/>
      <c r="Q2"/>
      <c r="R2" s="3"/>
      <c r="S2" s="3"/>
      <c r="T2" s="3"/>
      <c r="U2" s="47"/>
      <c r="V2" s="3"/>
      <c r="W2" s="3"/>
      <c r="X2" s="76"/>
      <c r="Y2" s="76"/>
      <c r="Z2" s="76"/>
      <c r="AA2" s="76"/>
      <c r="AB2" s="76"/>
      <c r="AC2" s="76"/>
    </row>
    <row r="3" spans="1:29" s="16" customFormat="1" ht="15" customHeight="1">
      <c r="A3" s="99" t="s">
        <v>63</v>
      </c>
      <c r="B3" s="18"/>
      <c r="C3" s="18"/>
      <c r="D3" s="18"/>
      <c r="E3" s="19"/>
      <c r="F3" s="19"/>
      <c r="G3" s="18"/>
      <c r="H3" s="3"/>
      <c r="I3" s="3"/>
      <c r="J3" s="47"/>
      <c r="K3" s="3"/>
      <c r="L3" s="3"/>
      <c r="M3" s="4" t="s">
        <v>62</v>
      </c>
      <c r="N3" s="3"/>
      <c r="O3" s="47"/>
      <c r="P3" s="2"/>
      <c r="Q3"/>
      <c r="R3" s="4"/>
      <c r="S3" s="3"/>
      <c r="T3" s="3"/>
      <c r="U3" s="47"/>
      <c r="V3" s="2"/>
      <c r="W3" s="3"/>
      <c r="X3" s="76"/>
      <c r="Y3" s="76"/>
      <c r="Z3" s="76"/>
      <c r="AA3" s="76"/>
      <c r="AB3" s="76"/>
      <c r="AC3" s="76"/>
    </row>
    <row r="4" spans="1:29" s="16" customFormat="1" ht="15" customHeight="1">
      <c r="A4" s="99" t="s">
        <v>89</v>
      </c>
      <c r="B4" s="18"/>
      <c r="C4" s="18"/>
      <c r="D4" s="18"/>
      <c r="E4" s="19"/>
      <c r="F4" s="19"/>
      <c r="G4" s="18"/>
      <c r="H4" s="4"/>
      <c r="I4" s="3"/>
      <c r="J4" s="47"/>
      <c r="K4" s="2"/>
      <c r="L4" s="3"/>
      <c r="M4" s="175"/>
      <c r="N4" s="175"/>
      <c r="O4" s="3"/>
      <c r="P4" s="3"/>
      <c r="Q4"/>
      <c r="R4" s="3"/>
      <c r="S4" s="3" t="s">
        <v>88</v>
      </c>
      <c r="T4" s="3"/>
      <c r="U4" s="47"/>
      <c r="V4" s="2"/>
      <c r="W4" s="3"/>
      <c r="X4" s="76"/>
      <c r="Y4" s="76"/>
      <c r="Z4" s="76"/>
      <c r="AA4" s="76"/>
      <c r="AB4" s="76"/>
      <c r="AC4" s="76"/>
    </row>
    <row r="5" spans="1:22" s="16" customFormat="1" ht="15" customHeight="1">
      <c r="A5" s="99" t="s">
        <v>65</v>
      </c>
      <c r="B5" s="18"/>
      <c r="C5" s="18"/>
      <c r="D5" s="18"/>
      <c r="E5" s="19"/>
      <c r="F5" s="19"/>
      <c r="G5" s="18"/>
      <c r="H5" s="3"/>
      <c r="I5" s="3"/>
      <c r="J5" s="3"/>
      <c r="K5" s="3"/>
      <c r="L5" s="3"/>
      <c r="M5" s="33"/>
      <c r="N5" s="33"/>
      <c r="O5" s="76"/>
      <c r="P5" s="76"/>
      <c r="Q5" s="76"/>
      <c r="R5" s="76"/>
      <c r="S5" s="76"/>
      <c r="T5" s="76"/>
      <c r="U5" s="3"/>
      <c r="V5" s="3"/>
    </row>
    <row r="6" spans="1:17" s="16" customFormat="1" ht="15" customHeight="1">
      <c r="A6" s="99" t="s">
        <v>64</v>
      </c>
      <c r="B6" s="18"/>
      <c r="C6" s="18"/>
      <c r="D6" s="18"/>
      <c r="E6" s="19"/>
      <c r="F6" s="19"/>
      <c r="G6" s="18"/>
      <c r="H6" s="5"/>
      <c r="I6" s="20"/>
      <c r="J6" s="18"/>
      <c r="K6" s="18"/>
      <c r="L6" s="18"/>
      <c r="M6" s="18"/>
      <c r="N6" s="18"/>
      <c r="Q6" s="84"/>
    </row>
    <row r="7" spans="1:17" s="16" customFormat="1" ht="15" customHeight="1">
      <c r="A7" s="24"/>
      <c r="B7" s="18"/>
      <c r="C7" s="18"/>
      <c r="D7" s="18"/>
      <c r="E7" s="19"/>
      <c r="F7" s="19"/>
      <c r="G7" s="18"/>
      <c r="H7" s="84"/>
      <c r="I7" s="84"/>
      <c r="J7" s="84"/>
      <c r="K7" s="84"/>
      <c r="L7" s="84"/>
      <c r="M7" s="84" t="s">
        <v>41</v>
      </c>
      <c r="N7" s="84"/>
      <c r="Q7" s="84"/>
    </row>
    <row r="8" spans="1:24" s="85" customFormat="1" ht="15" customHeight="1">
      <c r="A8" s="170" t="s">
        <v>136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</row>
    <row r="9" spans="1:14" s="16" customFormat="1" ht="8.25" customHeight="1">
      <c r="A9" s="24"/>
      <c r="B9" s="2"/>
      <c r="C9" s="18"/>
      <c r="D9" s="18"/>
      <c r="E9" s="19"/>
      <c r="F9" s="19"/>
      <c r="G9" s="18"/>
      <c r="H9" s="18"/>
      <c r="I9" s="18"/>
      <c r="J9" s="18"/>
      <c r="K9" s="18"/>
      <c r="L9" s="18"/>
      <c r="M9" s="18"/>
      <c r="N9" s="18"/>
    </row>
    <row r="10" spans="1:31" s="16" customFormat="1" ht="21" customHeight="1">
      <c r="A10" s="171" t="s">
        <v>22</v>
      </c>
      <c r="B10" s="173" t="s">
        <v>32</v>
      </c>
      <c r="C10" s="174" t="s">
        <v>33</v>
      </c>
      <c r="D10" s="174"/>
      <c r="E10" s="166" t="s">
        <v>0</v>
      </c>
      <c r="F10" s="166"/>
      <c r="G10" s="166" t="s">
        <v>34</v>
      </c>
      <c r="H10" s="166"/>
      <c r="I10" s="166"/>
      <c r="J10" s="166"/>
      <c r="K10" s="166"/>
      <c r="L10" s="166"/>
      <c r="M10" s="174" t="s">
        <v>35</v>
      </c>
      <c r="N10" s="174"/>
      <c r="O10" s="148" t="s">
        <v>36</v>
      </c>
      <c r="P10" s="148"/>
      <c r="Q10" s="148"/>
      <c r="R10" s="148"/>
      <c r="S10" s="148"/>
      <c r="T10" s="148"/>
      <c r="U10" s="167" t="s">
        <v>37</v>
      </c>
      <c r="V10" s="167"/>
      <c r="W10" s="167"/>
      <c r="X10" s="167"/>
      <c r="Z10" s="55"/>
      <c r="AA10" s="55"/>
      <c r="AB10" s="55"/>
      <c r="AC10" s="55"/>
      <c r="AD10" s="55"/>
      <c r="AE10" s="55"/>
    </row>
    <row r="11" spans="1:31" s="16" customFormat="1" ht="15" customHeight="1">
      <c r="A11" s="172"/>
      <c r="B11" s="173"/>
      <c r="C11" s="174"/>
      <c r="D11" s="174"/>
      <c r="E11" s="166"/>
      <c r="F11" s="166"/>
      <c r="G11" s="165" t="s">
        <v>1</v>
      </c>
      <c r="H11" s="165"/>
      <c r="I11" s="165" t="s">
        <v>2</v>
      </c>
      <c r="J11" s="165"/>
      <c r="K11" s="165" t="s">
        <v>3</v>
      </c>
      <c r="L11" s="165"/>
      <c r="M11" s="174"/>
      <c r="N11" s="174"/>
      <c r="O11" s="147" t="s">
        <v>59</v>
      </c>
      <c r="P11" s="147"/>
      <c r="Q11" s="147" t="s">
        <v>44</v>
      </c>
      <c r="R11" s="147"/>
      <c r="S11" s="147" t="s">
        <v>38</v>
      </c>
      <c r="T11" s="147"/>
      <c r="U11" s="147" t="s">
        <v>39</v>
      </c>
      <c r="V11" s="147"/>
      <c r="W11" s="147" t="s">
        <v>40</v>
      </c>
      <c r="X11" s="147"/>
      <c r="Z11" s="55"/>
      <c r="AA11" s="55"/>
      <c r="AB11" s="55"/>
      <c r="AC11" s="55"/>
      <c r="AD11" s="55"/>
      <c r="AE11" s="55"/>
    </row>
    <row r="12" spans="1:31" s="16" customFormat="1" ht="15" customHeight="1">
      <c r="A12" s="21" t="s">
        <v>22</v>
      </c>
      <c r="B12" s="87" t="s">
        <v>137</v>
      </c>
      <c r="C12" s="86" t="s">
        <v>19</v>
      </c>
      <c r="D12" s="86" t="s">
        <v>20</v>
      </c>
      <c r="E12" s="86" t="s">
        <v>19</v>
      </c>
      <c r="F12" s="86" t="s">
        <v>20</v>
      </c>
      <c r="G12" s="86" t="s">
        <v>19</v>
      </c>
      <c r="H12" s="86" t="s">
        <v>20</v>
      </c>
      <c r="I12" s="86" t="s">
        <v>19</v>
      </c>
      <c r="J12" s="86" t="s">
        <v>20</v>
      </c>
      <c r="K12" s="86" t="s">
        <v>19</v>
      </c>
      <c r="L12" s="86" t="s">
        <v>20</v>
      </c>
      <c r="M12" s="86" t="s">
        <v>19</v>
      </c>
      <c r="N12" s="86" t="s">
        <v>20</v>
      </c>
      <c r="O12" s="86" t="s">
        <v>19</v>
      </c>
      <c r="P12" s="86" t="s">
        <v>20</v>
      </c>
      <c r="Q12" s="86" t="s">
        <v>19</v>
      </c>
      <c r="R12" s="86" t="s">
        <v>20</v>
      </c>
      <c r="S12" s="86" t="s">
        <v>19</v>
      </c>
      <c r="T12" s="86" t="s">
        <v>20</v>
      </c>
      <c r="U12" s="86" t="s">
        <v>19</v>
      </c>
      <c r="V12" s="86" t="s">
        <v>20</v>
      </c>
      <c r="W12" s="86" t="s">
        <v>19</v>
      </c>
      <c r="X12" s="86" t="s">
        <v>20</v>
      </c>
      <c r="Z12" s="55"/>
      <c r="AA12" s="55"/>
      <c r="AB12" s="55"/>
      <c r="AC12" s="55"/>
      <c r="AD12" s="55"/>
      <c r="AE12" s="55"/>
    </row>
    <row r="13" spans="1:31" ht="15" customHeight="1">
      <c r="A13" s="22"/>
      <c r="B13" s="88" t="s">
        <v>4</v>
      </c>
      <c r="C13" s="89"/>
      <c r="D13" s="8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51"/>
      <c r="Q13" s="51"/>
      <c r="R13" s="51"/>
      <c r="S13" s="51"/>
      <c r="T13" s="51"/>
      <c r="U13" s="51"/>
      <c r="V13" s="51"/>
      <c r="W13" s="51"/>
      <c r="X13" s="51"/>
      <c r="Z13" s="52"/>
      <c r="AA13" s="52"/>
      <c r="AB13" s="52"/>
      <c r="AC13" s="52"/>
      <c r="AD13" s="52"/>
      <c r="AE13" s="52"/>
    </row>
    <row r="14" spans="1:30" s="1" customFormat="1" ht="14.25" customHeight="1">
      <c r="A14" s="115" t="s">
        <v>56</v>
      </c>
      <c r="B14" s="23" t="s">
        <v>117</v>
      </c>
      <c r="C14" s="43" t="s">
        <v>118</v>
      </c>
      <c r="D14" s="43" t="s">
        <v>118</v>
      </c>
      <c r="E14" s="28">
        <v>7.11</v>
      </c>
      <c r="F14" s="28">
        <v>7.11</v>
      </c>
      <c r="G14" s="28">
        <v>2.93</v>
      </c>
      <c r="H14" s="29">
        <v>2.93</v>
      </c>
      <c r="I14" s="28">
        <v>6.05</v>
      </c>
      <c r="J14" s="29">
        <v>6.05</v>
      </c>
      <c r="K14" s="28">
        <v>10.4</v>
      </c>
      <c r="L14" s="29">
        <v>10.4</v>
      </c>
      <c r="M14" s="28">
        <v>107.77</v>
      </c>
      <c r="N14" s="29">
        <v>107.77</v>
      </c>
      <c r="O14" s="29">
        <v>0.08</v>
      </c>
      <c r="P14" s="29">
        <f>O14*40/60</f>
        <v>0.05333333333333334</v>
      </c>
      <c r="Q14" s="29">
        <v>0.06</v>
      </c>
      <c r="R14" s="29">
        <f>Q14*40/60</f>
        <v>0.04</v>
      </c>
      <c r="S14" s="28">
        <v>0.14</v>
      </c>
      <c r="T14" s="29">
        <v>0.14</v>
      </c>
      <c r="U14" s="29">
        <v>70.8</v>
      </c>
      <c r="V14" s="29">
        <f>U14*40/60</f>
        <v>47.2</v>
      </c>
      <c r="W14" s="29">
        <v>0.81</v>
      </c>
      <c r="X14" s="73">
        <f>W14*40/60</f>
        <v>0.5400000000000001</v>
      </c>
      <c r="Y14" s="58"/>
      <c r="Z14" s="56"/>
      <c r="AA14" s="56"/>
      <c r="AB14" s="56"/>
      <c r="AC14" s="56"/>
      <c r="AD14" s="56"/>
    </row>
    <row r="15" spans="1:29" ht="12.75">
      <c r="A15" s="143" t="s">
        <v>156</v>
      </c>
      <c r="B15" s="23" t="s">
        <v>157</v>
      </c>
      <c r="C15" s="43" t="s">
        <v>5</v>
      </c>
      <c r="D15" s="43" t="s">
        <v>6</v>
      </c>
      <c r="E15" s="28">
        <v>9.3</v>
      </c>
      <c r="F15" s="28">
        <v>6.97</v>
      </c>
      <c r="G15" s="28">
        <v>5.31</v>
      </c>
      <c r="H15" s="28">
        <v>3.98</v>
      </c>
      <c r="I15" s="28">
        <v>37.8</v>
      </c>
      <c r="J15" s="29">
        <v>28.35</v>
      </c>
      <c r="K15" s="28">
        <v>62.87</v>
      </c>
      <c r="L15" s="29">
        <v>47.15</v>
      </c>
      <c r="M15" s="28">
        <v>615.26</v>
      </c>
      <c r="N15" s="29">
        <v>461.45</v>
      </c>
      <c r="O15" s="28">
        <f>P15*200/150</f>
        <v>0.12</v>
      </c>
      <c r="P15" s="40">
        <v>0.09</v>
      </c>
      <c r="Q15" s="28">
        <f>R15*200/150</f>
        <v>0.04</v>
      </c>
      <c r="R15" s="40">
        <v>0.03</v>
      </c>
      <c r="S15" s="40">
        <v>2.17</v>
      </c>
      <c r="T15" s="40">
        <v>1.6</v>
      </c>
      <c r="U15" s="28">
        <f>V15*200/150</f>
        <v>1.5466666666666664</v>
      </c>
      <c r="V15" s="40">
        <v>1.16</v>
      </c>
      <c r="W15" s="28">
        <f>X15*200/150</f>
        <v>0.72</v>
      </c>
      <c r="X15" s="131">
        <v>0.54</v>
      </c>
      <c r="Y15" s="53"/>
      <c r="Z15" s="52"/>
      <c r="AA15" s="52"/>
      <c r="AB15" s="53"/>
      <c r="AC15" s="52"/>
    </row>
    <row r="16" spans="1:31" ht="15" customHeight="1">
      <c r="A16" s="116" t="s">
        <v>46</v>
      </c>
      <c r="B16" s="63" t="s">
        <v>24</v>
      </c>
      <c r="C16" s="64" t="s">
        <v>5</v>
      </c>
      <c r="D16" s="64" t="s">
        <v>6</v>
      </c>
      <c r="E16" s="60">
        <v>2.02</v>
      </c>
      <c r="F16" s="60">
        <v>1.51</v>
      </c>
      <c r="G16" s="40">
        <v>0</v>
      </c>
      <c r="H16" s="44">
        <v>0</v>
      </c>
      <c r="I16" s="40">
        <v>0</v>
      </c>
      <c r="J16" s="44">
        <f>I16*150/200</f>
        <v>0</v>
      </c>
      <c r="K16" s="40">
        <v>30.6</v>
      </c>
      <c r="L16" s="44">
        <f>K16*150/200</f>
        <v>22.95</v>
      </c>
      <c r="M16" s="40">
        <v>118</v>
      </c>
      <c r="N16" s="44">
        <v>88.5</v>
      </c>
      <c r="O16" s="42">
        <v>0</v>
      </c>
      <c r="P16" s="44">
        <f>O16*150/200</f>
        <v>0</v>
      </c>
      <c r="Q16" s="42">
        <v>0</v>
      </c>
      <c r="R16" s="44">
        <f>Q16*150/200</f>
        <v>0</v>
      </c>
      <c r="S16" s="42">
        <v>0</v>
      </c>
      <c r="T16" s="44">
        <f>S16*150/200</f>
        <v>0</v>
      </c>
      <c r="U16" s="65">
        <f>V16*200/150</f>
        <v>0.2</v>
      </c>
      <c r="V16" s="67">
        <v>0.15</v>
      </c>
      <c r="W16" s="65">
        <f>X16*200/150</f>
        <v>0.02666666666666667</v>
      </c>
      <c r="X16" s="100">
        <v>0.02</v>
      </c>
      <c r="Y16" s="52"/>
      <c r="Z16" s="52"/>
      <c r="AA16" s="52"/>
      <c r="AB16" s="52"/>
      <c r="AC16" s="52"/>
      <c r="AD16" s="52"/>
      <c r="AE16" s="52"/>
    </row>
    <row r="17" spans="1:31" ht="15" customHeight="1">
      <c r="A17" s="22"/>
      <c r="B17" s="23" t="s">
        <v>7</v>
      </c>
      <c r="C17" s="43"/>
      <c r="D17" s="43"/>
      <c r="E17" s="17">
        <f>SUM(E14:E16)</f>
        <v>18.43</v>
      </c>
      <c r="F17" s="17">
        <f aca="true" t="shared" si="0" ref="F17:T17">SUM(F14:F16)</f>
        <v>15.59</v>
      </c>
      <c r="G17" s="17">
        <f t="shared" si="0"/>
        <v>8.24</v>
      </c>
      <c r="H17" s="17">
        <f t="shared" si="0"/>
        <v>6.91</v>
      </c>
      <c r="I17" s="17">
        <f t="shared" si="0"/>
        <v>43.849999999999994</v>
      </c>
      <c r="J17" s="17">
        <f t="shared" si="0"/>
        <v>34.4</v>
      </c>
      <c r="K17" s="17">
        <f t="shared" si="0"/>
        <v>103.87</v>
      </c>
      <c r="L17" s="17">
        <f t="shared" si="0"/>
        <v>80.5</v>
      </c>
      <c r="M17" s="17">
        <f>SUM(M14:M16)-0</f>
        <v>841.03</v>
      </c>
      <c r="N17" s="17">
        <f>SUM(N14:N16)-100</f>
        <v>557.72</v>
      </c>
      <c r="O17" s="17">
        <f t="shared" si="0"/>
        <v>0.2</v>
      </c>
      <c r="P17" s="17">
        <f t="shared" si="0"/>
        <v>0.14333333333333334</v>
      </c>
      <c r="Q17" s="17">
        <f t="shared" si="0"/>
        <v>0.1</v>
      </c>
      <c r="R17" s="17">
        <f t="shared" si="0"/>
        <v>0.07</v>
      </c>
      <c r="S17" s="17">
        <f t="shared" si="0"/>
        <v>2.31</v>
      </c>
      <c r="T17" s="17">
        <f t="shared" si="0"/>
        <v>1.7400000000000002</v>
      </c>
      <c r="U17" s="17">
        <f>SUM(U14:U16)</f>
        <v>72.54666666666667</v>
      </c>
      <c r="V17" s="17">
        <f>SUM(V14:V16)</f>
        <v>48.51</v>
      </c>
      <c r="W17" s="17">
        <f>SUM(W14:W16)</f>
        <v>1.5566666666666666</v>
      </c>
      <c r="X17" s="17">
        <f>SUM(X14:X16)</f>
        <v>1.1</v>
      </c>
      <c r="Y17" s="71">
        <f>SUM(Y14:Y16)</f>
        <v>0</v>
      </c>
      <c r="Z17" s="57"/>
      <c r="AA17" s="57"/>
      <c r="AB17" s="57"/>
      <c r="AC17" s="57"/>
      <c r="AD17" s="52"/>
      <c r="AE17" s="52"/>
    </row>
    <row r="18" spans="1:31" ht="15" customHeight="1">
      <c r="A18" s="22"/>
      <c r="B18" s="88" t="s">
        <v>8</v>
      </c>
      <c r="C18" s="43"/>
      <c r="D18" s="43"/>
      <c r="E18" s="28"/>
      <c r="F18" s="28"/>
      <c r="G18" s="28"/>
      <c r="H18" s="29"/>
      <c r="I18" s="29"/>
      <c r="J18" s="29"/>
      <c r="K18" s="29"/>
      <c r="L18" s="29"/>
      <c r="M18" s="29"/>
      <c r="N18" s="29"/>
      <c r="O18" s="41"/>
      <c r="P18" s="45"/>
      <c r="Q18" s="45"/>
      <c r="R18" s="45"/>
      <c r="S18" s="45"/>
      <c r="T18" s="45"/>
      <c r="U18" s="45"/>
      <c r="V18" s="45"/>
      <c r="W18" s="45"/>
      <c r="X18" s="72"/>
      <c r="Y18" s="53"/>
      <c r="Z18" s="52"/>
      <c r="AA18" s="52"/>
      <c r="AB18" s="52"/>
      <c r="AC18" s="52"/>
      <c r="AD18" s="52"/>
      <c r="AE18" s="52"/>
    </row>
    <row r="19" spans="1:31" s="1" customFormat="1" ht="15" customHeight="1">
      <c r="A19" s="116" t="s">
        <v>49</v>
      </c>
      <c r="B19" s="63" t="s">
        <v>54</v>
      </c>
      <c r="C19" s="64" t="s">
        <v>92</v>
      </c>
      <c r="D19" s="64" t="s">
        <v>92</v>
      </c>
      <c r="E19" s="60">
        <v>5.09</v>
      </c>
      <c r="F19" s="60">
        <v>5.09</v>
      </c>
      <c r="G19" s="65">
        <v>0</v>
      </c>
      <c r="H19" s="67">
        <v>0</v>
      </c>
      <c r="I19" s="65">
        <f>J19*180/150</f>
        <v>0</v>
      </c>
      <c r="J19" s="67">
        <v>0</v>
      </c>
      <c r="K19" s="65">
        <v>10.2</v>
      </c>
      <c r="L19" s="67">
        <v>10.2</v>
      </c>
      <c r="M19" s="65">
        <v>40.8</v>
      </c>
      <c r="N19" s="67">
        <v>40.8</v>
      </c>
      <c r="O19" s="65">
        <f>P19*180/150</f>
        <v>0</v>
      </c>
      <c r="P19" s="67">
        <v>0</v>
      </c>
      <c r="Q19" s="65">
        <f>R19*180/150</f>
        <v>0.024</v>
      </c>
      <c r="R19" s="67">
        <v>0.02</v>
      </c>
      <c r="S19" s="65">
        <v>3.4</v>
      </c>
      <c r="T19" s="67">
        <v>3.4</v>
      </c>
      <c r="U19" s="65">
        <f>V19*180/150</f>
        <v>9.996</v>
      </c>
      <c r="V19" s="67">
        <v>8.33</v>
      </c>
      <c r="W19" s="65">
        <f>X19*180/150</f>
        <v>0.252</v>
      </c>
      <c r="X19" s="100">
        <v>0.21</v>
      </c>
      <c r="Y19" s="56"/>
      <c r="Z19" s="56"/>
      <c r="AA19" s="56"/>
      <c r="AB19" s="56"/>
      <c r="AC19" s="56"/>
      <c r="AD19" s="56"/>
      <c r="AE19" s="56"/>
    </row>
    <row r="20" spans="1:31" ht="15" customHeight="1">
      <c r="A20" s="22"/>
      <c r="B20" s="23" t="s">
        <v>7</v>
      </c>
      <c r="C20" s="43"/>
      <c r="D20" s="43"/>
      <c r="E20" s="17">
        <f>SUM(E19)</f>
        <v>5.09</v>
      </c>
      <c r="F20" s="17">
        <f aca="true" t="shared" si="1" ref="F20:T20">SUM(F19)</f>
        <v>5.09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10.2</v>
      </c>
      <c r="L20" s="17">
        <f t="shared" si="1"/>
        <v>10.2</v>
      </c>
      <c r="M20" s="17">
        <f t="shared" si="1"/>
        <v>40.8</v>
      </c>
      <c r="N20" s="17">
        <f t="shared" si="1"/>
        <v>40.8</v>
      </c>
      <c r="O20" s="17">
        <f t="shared" si="1"/>
        <v>0</v>
      </c>
      <c r="P20" s="17">
        <f t="shared" si="1"/>
        <v>0</v>
      </c>
      <c r="Q20" s="17">
        <f t="shared" si="1"/>
        <v>0.024</v>
      </c>
      <c r="R20" s="17">
        <f t="shared" si="1"/>
        <v>0.02</v>
      </c>
      <c r="S20" s="17">
        <f t="shared" si="1"/>
        <v>3.4</v>
      </c>
      <c r="T20" s="17">
        <f t="shared" si="1"/>
        <v>3.4</v>
      </c>
      <c r="U20" s="17">
        <f>SUM(U19)</f>
        <v>9.996</v>
      </c>
      <c r="V20" s="17">
        <f>SUM(V19)</f>
        <v>8.33</v>
      </c>
      <c r="W20" s="17">
        <f>SUM(W19)</f>
        <v>0.252</v>
      </c>
      <c r="X20" s="17">
        <f>SUM(X19)</f>
        <v>0.21</v>
      </c>
      <c r="Y20" s="71">
        <f>SUM(Y19)</f>
        <v>0</v>
      </c>
      <c r="Z20" s="57"/>
      <c r="AA20" s="57"/>
      <c r="AB20" s="57"/>
      <c r="AC20" s="57"/>
      <c r="AD20" s="52"/>
      <c r="AE20" s="52"/>
    </row>
    <row r="21" spans="1:31" ht="15" customHeight="1">
      <c r="A21" s="22"/>
      <c r="B21" s="88" t="s">
        <v>9</v>
      </c>
      <c r="C21" s="43"/>
      <c r="D21" s="43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41"/>
      <c r="P21" s="45"/>
      <c r="Q21" s="45"/>
      <c r="R21" s="45"/>
      <c r="S21" s="45"/>
      <c r="T21" s="45"/>
      <c r="U21" s="45"/>
      <c r="V21" s="45"/>
      <c r="W21" s="45"/>
      <c r="X21" s="72"/>
      <c r="Y21" s="53"/>
      <c r="Z21" s="52"/>
      <c r="AA21" s="52"/>
      <c r="AB21" s="52"/>
      <c r="AC21" s="52"/>
      <c r="AD21" s="52"/>
      <c r="AE21" s="52"/>
    </row>
    <row r="22" spans="1:29" ht="15" customHeight="1">
      <c r="A22" s="59" t="s">
        <v>93</v>
      </c>
      <c r="B22" s="105" t="s">
        <v>94</v>
      </c>
      <c r="C22" s="64" t="s">
        <v>28</v>
      </c>
      <c r="D22" s="64" t="s">
        <v>81</v>
      </c>
      <c r="E22" s="60">
        <v>3.11</v>
      </c>
      <c r="F22" s="60">
        <v>2.59</v>
      </c>
      <c r="G22" s="60">
        <f>H22*60/50</f>
        <v>0.9</v>
      </c>
      <c r="H22" s="61">
        <v>0.75</v>
      </c>
      <c r="I22" s="60">
        <f>J22*60/50</f>
        <v>2.4</v>
      </c>
      <c r="J22" s="61">
        <v>2</v>
      </c>
      <c r="K22" s="60">
        <f>L22*60/50</f>
        <v>4.8</v>
      </c>
      <c r="L22" s="61">
        <v>4</v>
      </c>
      <c r="M22" s="60">
        <f>N22*60/50</f>
        <v>44.4</v>
      </c>
      <c r="N22" s="61">
        <v>37</v>
      </c>
      <c r="O22" s="61">
        <v>0.04</v>
      </c>
      <c r="P22" s="61">
        <f>O22*45/60</f>
        <v>0.030000000000000002</v>
      </c>
      <c r="Q22" s="61">
        <v>0.02</v>
      </c>
      <c r="R22" s="61">
        <f>Q22*45/60</f>
        <v>0.015000000000000001</v>
      </c>
      <c r="S22" s="60">
        <f>T22*60/50</f>
        <v>5.88</v>
      </c>
      <c r="T22" s="61">
        <v>4.9</v>
      </c>
      <c r="U22" s="61">
        <v>13.18</v>
      </c>
      <c r="V22" s="61">
        <f>U22*45/60</f>
        <v>9.885</v>
      </c>
      <c r="W22" s="61">
        <v>0.62</v>
      </c>
      <c r="X22" s="61">
        <f>W22*45/60</f>
        <v>0.46499999999999997</v>
      </c>
      <c r="Y22" s="52"/>
      <c r="Z22" s="52"/>
      <c r="AA22" s="52"/>
      <c r="AB22" s="52"/>
      <c r="AC22" s="52"/>
    </row>
    <row r="23" spans="1:31" s="7" customFormat="1" ht="25.5">
      <c r="A23" s="115" t="s">
        <v>105</v>
      </c>
      <c r="B23" s="25" t="s">
        <v>135</v>
      </c>
      <c r="C23" s="43" t="s">
        <v>78</v>
      </c>
      <c r="D23" s="43" t="s">
        <v>79</v>
      </c>
      <c r="E23" s="28">
        <v>6.91</v>
      </c>
      <c r="F23" s="28">
        <v>5.63</v>
      </c>
      <c r="G23" s="40">
        <v>1.9</v>
      </c>
      <c r="H23" s="40">
        <v>1.46</v>
      </c>
      <c r="I23" s="40">
        <v>4.35</v>
      </c>
      <c r="J23" s="40">
        <v>3.45</v>
      </c>
      <c r="K23" s="40">
        <v>10.31</v>
      </c>
      <c r="L23" s="40">
        <v>7.77</v>
      </c>
      <c r="M23" s="40">
        <v>88.02</v>
      </c>
      <c r="N23" s="40">
        <v>68.02</v>
      </c>
      <c r="O23" s="29">
        <v>0.1</v>
      </c>
      <c r="P23" s="40">
        <f>O23*163/213</f>
        <v>0.07652582159624413</v>
      </c>
      <c r="Q23" s="29">
        <v>0.05</v>
      </c>
      <c r="R23" s="40">
        <f>Q23*163/213</f>
        <v>0.038262910798122066</v>
      </c>
      <c r="S23" s="29">
        <v>9.85</v>
      </c>
      <c r="T23" s="40">
        <v>7.48</v>
      </c>
      <c r="U23" s="29">
        <v>32.89</v>
      </c>
      <c r="V23" s="40">
        <f>U23*163/213</f>
        <v>25.169342723004693</v>
      </c>
      <c r="W23" s="29">
        <v>1.07</v>
      </c>
      <c r="X23" s="40">
        <f>W23*163/213</f>
        <v>0.8188262910798122</v>
      </c>
      <c r="Z23" s="75"/>
      <c r="AA23" s="75"/>
      <c r="AB23" s="75"/>
      <c r="AC23" s="75"/>
      <c r="AD23" s="75"/>
      <c r="AE23" s="75"/>
    </row>
    <row r="24" spans="1:29" s="7" customFormat="1" ht="15" customHeight="1">
      <c r="A24" s="59" t="s">
        <v>160</v>
      </c>
      <c r="B24" s="63" t="s">
        <v>161</v>
      </c>
      <c r="C24" s="64" t="s">
        <v>10</v>
      </c>
      <c r="D24" s="64" t="s">
        <v>10</v>
      </c>
      <c r="E24" s="60">
        <v>13.43</v>
      </c>
      <c r="F24" s="60">
        <v>13.43</v>
      </c>
      <c r="G24" s="61">
        <v>9.26</v>
      </c>
      <c r="H24" s="61">
        <v>9.26</v>
      </c>
      <c r="I24" s="61">
        <v>8.04</v>
      </c>
      <c r="J24" s="61">
        <v>8.04</v>
      </c>
      <c r="K24" s="61">
        <v>1.27</v>
      </c>
      <c r="L24" s="61">
        <v>1.27</v>
      </c>
      <c r="M24" s="61">
        <v>175.08</v>
      </c>
      <c r="N24" s="61">
        <v>175.08</v>
      </c>
      <c r="O24" s="61">
        <v>0.06</v>
      </c>
      <c r="P24" s="61">
        <v>0.06</v>
      </c>
      <c r="Q24" s="61">
        <v>0.11</v>
      </c>
      <c r="R24" s="61">
        <v>0.11</v>
      </c>
      <c r="S24" s="61">
        <v>0.5</v>
      </c>
      <c r="T24" s="61">
        <v>0.5</v>
      </c>
      <c r="U24" s="61">
        <v>14.79</v>
      </c>
      <c r="V24" s="61">
        <v>14.79</v>
      </c>
      <c r="W24" s="61">
        <v>0.27</v>
      </c>
      <c r="X24" s="61">
        <v>0.27</v>
      </c>
      <c r="Y24" s="139"/>
      <c r="Z24" s="75"/>
      <c r="AA24" s="75"/>
      <c r="AB24" s="75"/>
      <c r="AC24" s="75"/>
    </row>
    <row r="25" spans="1:29" s="8" customFormat="1" ht="15" customHeight="1">
      <c r="A25" s="116" t="s">
        <v>83</v>
      </c>
      <c r="B25" s="63" t="s">
        <v>84</v>
      </c>
      <c r="C25" s="64" t="s">
        <v>6</v>
      </c>
      <c r="D25" s="64" t="s">
        <v>67</v>
      </c>
      <c r="E25" s="61">
        <v>4.44</v>
      </c>
      <c r="F25" s="61">
        <v>3.85</v>
      </c>
      <c r="G25" s="61">
        <f>H25*150/130</f>
        <v>31.753846153846155</v>
      </c>
      <c r="H25" s="61">
        <v>27.52</v>
      </c>
      <c r="I25" s="61">
        <f>J25*150/130</f>
        <v>10.407692307692308</v>
      </c>
      <c r="J25" s="61">
        <v>9.02</v>
      </c>
      <c r="K25" s="61">
        <f>L25*150/130</f>
        <v>70.08461538461539</v>
      </c>
      <c r="L25" s="61">
        <v>60.74</v>
      </c>
      <c r="M25" s="61">
        <f>N25*150/130</f>
        <v>501.0346153846154</v>
      </c>
      <c r="N25" s="61">
        <v>434.23</v>
      </c>
      <c r="O25" s="114">
        <v>0.57</v>
      </c>
      <c r="P25" s="61">
        <f>O25*100/130</f>
        <v>0.4384615384615384</v>
      </c>
      <c r="Q25" s="114">
        <v>0.12</v>
      </c>
      <c r="R25" s="61">
        <f>Q25*100/130</f>
        <v>0.09230769230769231</v>
      </c>
      <c r="S25" s="114">
        <v>0</v>
      </c>
      <c r="T25" s="61">
        <f>S25*100/130</f>
        <v>0</v>
      </c>
      <c r="U25" s="114">
        <v>57.69</v>
      </c>
      <c r="V25" s="61">
        <f>U25*100/130</f>
        <v>44.37692307692308</v>
      </c>
      <c r="W25" s="40">
        <v>4.47</v>
      </c>
      <c r="X25" s="69">
        <f>W25*100/130</f>
        <v>3.4384615384615387</v>
      </c>
      <c r="Y25" s="106"/>
      <c r="Z25" s="102"/>
      <c r="AA25" s="102"/>
      <c r="AB25" s="102"/>
      <c r="AC25" s="102"/>
    </row>
    <row r="26" spans="1:31" ht="27" customHeight="1">
      <c r="A26" s="117" t="s">
        <v>82</v>
      </c>
      <c r="B26" s="105" t="s">
        <v>77</v>
      </c>
      <c r="C26" s="101">
        <v>200</v>
      </c>
      <c r="D26" s="101">
        <v>150</v>
      </c>
      <c r="E26" s="60">
        <v>1.64</v>
      </c>
      <c r="F26" s="60">
        <v>1.23</v>
      </c>
      <c r="G26" s="60">
        <v>0.6</v>
      </c>
      <c r="H26" s="61">
        <f>G26*150/200</f>
        <v>0.45</v>
      </c>
      <c r="I26" s="60">
        <v>0</v>
      </c>
      <c r="J26" s="61">
        <f>I26*150/200</f>
        <v>0</v>
      </c>
      <c r="K26" s="60">
        <v>31.4</v>
      </c>
      <c r="L26" s="61">
        <f>K26*150/200</f>
        <v>23.55</v>
      </c>
      <c r="M26" s="60">
        <v>124</v>
      </c>
      <c r="N26" s="61">
        <f>M26*150/200</f>
        <v>93</v>
      </c>
      <c r="O26" s="61">
        <v>0.02</v>
      </c>
      <c r="P26" s="61">
        <f>O26*150/200</f>
        <v>0.015</v>
      </c>
      <c r="Q26" s="61">
        <v>0.03</v>
      </c>
      <c r="R26" s="61">
        <f>Q26*150/200</f>
        <v>0.0225</v>
      </c>
      <c r="S26" s="61">
        <v>0.45</v>
      </c>
      <c r="T26" s="61">
        <f>S26*150/200</f>
        <v>0.3375</v>
      </c>
      <c r="U26" s="61">
        <v>12.3</v>
      </c>
      <c r="V26" s="61">
        <f>U26*150/200</f>
        <v>9.225</v>
      </c>
      <c r="W26" s="69">
        <v>2</v>
      </c>
      <c r="X26" s="80">
        <f>W26*150/200</f>
        <v>1.5</v>
      </c>
      <c r="Y26" s="52"/>
      <c r="Z26" s="52"/>
      <c r="AA26" s="52"/>
      <c r="AB26" s="52"/>
      <c r="AC26" s="52"/>
      <c r="AD26" s="52"/>
      <c r="AE26" s="52"/>
    </row>
    <row r="27" spans="1:31" s="16" customFormat="1" ht="15" customHeight="1">
      <c r="A27" s="115"/>
      <c r="B27" s="23" t="s">
        <v>11</v>
      </c>
      <c r="C27" s="43" t="s">
        <v>14</v>
      </c>
      <c r="D27" s="43" t="s">
        <v>14</v>
      </c>
      <c r="E27" s="28">
        <v>1.22</v>
      </c>
      <c r="F27" s="28">
        <v>1.22</v>
      </c>
      <c r="G27" s="28">
        <v>1.6</v>
      </c>
      <c r="H27" s="28">
        <v>1.6</v>
      </c>
      <c r="I27" s="28">
        <v>0.4</v>
      </c>
      <c r="J27" s="28">
        <v>0.4</v>
      </c>
      <c r="K27" s="28">
        <v>10</v>
      </c>
      <c r="L27" s="28">
        <v>10</v>
      </c>
      <c r="M27" s="29">
        <v>54</v>
      </c>
      <c r="N27" s="29">
        <v>54</v>
      </c>
      <c r="O27" s="42">
        <v>0.04</v>
      </c>
      <c r="P27" s="46">
        <v>0.04</v>
      </c>
      <c r="Q27" s="42">
        <v>0.02</v>
      </c>
      <c r="R27" s="46">
        <v>0.02</v>
      </c>
      <c r="S27" s="42">
        <v>0</v>
      </c>
      <c r="T27" s="46">
        <v>0</v>
      </c>
      <c r="U27" s="42">
        <v>7.4</v>
      </c>
      <c r="V27" s="46">
        <v>7.4</v>
      </c>
      <c r="W27" s="42">
        <v>0.56</v>
      </c>
      <c r="X27" s="46">
        <v>0.56</v>
      </c>
      <c r="Y27" s="55"/>
      <c r="Z27" s="55"/>
      <c r="AA27" s="55"/>
      <c r="AB27" s="55"/>
      <c r="AC27" s="55"/>
      <c r="AD27" s="55"/>
      <c r="AE27" s="55"/>
    </row>
    <row r="28" spans="1:31" ht="15" customHeight="1">
      <c r="A28" s="115"/>
      <c r="B28" s="23" t="s">
        <v>45</v>
      </c>
      <c r="C28" s="43" t="s">
        <v>68</v>
      </c>
      <c r="D28" s="43" t="s">
        <v>69</v>
      </c>
      <c r="E28" s="28">
        <v>2.3</v>
      </c>
      <c r="F28" s="28">
        <v>2.01</v>
      </c>
      <c r="G28" s="28">
        <v>3.25</v>
      </c>
      <c r="H28" s="29">
        <v>2.84</v>
      </c>
      <c r="I28" s="29">
        <v>0.46</v>
      </c>
      <c r="J28" s="29">
        <f>I28*40.6/46</f>
        <v>0.406</v>
      </c>
      <c r="K28" s="29">
        <v>20.88</v>
      </c>
      <c r="L28" s="29">
        <v>18.27</v>
      </c>
      <c r="M28" s="29">
        <v>102.08</v>
      </c>
      <c r="N28" s="29">
        <v>89.32</v>
      </c>
      <c r="O28" s="40">
        <v>0.06</v>
      </c>
      <c r="P28" s="44">
        <v>0.04</v>
      </c>
      <c r="Q28" s="40">
        <v>0.04</v>
      </c>
      <c r="R28" s="44">
        <v>0.03</v>
      </c>
      <c r="S28" s="40">
        <v>0</v>
      </c>
      <c r="T28" s="29">
        <f>S28*40.6/46</f>
        <v>0</v>
      </c>
      <c r="U28" s="42">
        <v>17</v>
      </c>
      <c r="V28" s="46">
        <v>13.6</v>
      </c>
      <c r="W28" s="42">
        <v>1.15</v>
      </c>
      <c r="X28" s="46">
        <v>0.92</v>
      </c>
      <c r="Y28" s="52"/>
      <c r="Z28" s="52"/>
      <c r="AA28" s="52"/>
      <c r="AB28" s="52"/>
      <c r="AC28" s="52"/>
      <c r="AD28" s="52"/>
      <c r="AE28" s="52"/>
    </row>
    <row r="29" spans="1:31" ht="15" customHeight="1">
      <c r="A29" s="22"/>
      <c r="B29" s="23" t="s">
        <v>7</v>
      </c>
      <c r="C29" s="43"/>
      <c r="D29" s="43"/>
      <c r="E29" s="17">
        <f>SUM(E22:E28)</f>
        <v>33.05</v>
      </c>
      <c r="F29" s="17">
        <f aca="true" t="shared" si="2" ref="F29:T29">SUM(F22:F28)</f>
        <v>29.96</v>
      </c>
      <c r="G29" s="17">
        <f t="shared" si="2"/>
        <v>49.26384615384616</v>
      </c>
      <c r="H29" s="17">
        <f t="shared" si="2"/>
        <v>43.879999999999995</v>
      </c>
      <c r="I29" s="17">
        <f>SUM(I22:I28)-8</f>
        <v>18.057692307692307</v>
      </c>
      <c r="J29" s="17">
        <f>SUM(J22:J28)-8</f>
        <v>15.315999999999995</v>
      </c>
      <c r="K29" s="17">
        <f t="shared" si="2"/>
        <v>148.74461538461537</v>
      </c>
      <c r="L29" s="17">
        <f t="shared" si="2"/>
        <v>125.6</v>
      </c>
      <c r="M29" s="17">
        <f>SUM(M22:M28)-0</f>
        <v>1088.6146153846153</v>
      </c>
      <c r="N29" s="17">
        <f>SUM(N22:N28)-100</f>
        <v>850.6500000000001</v>
      </c>
      <c r="O29" s="17">
        <f t="shared" si="2"/>
        <v>0.8900000000000001</v>
      </c>
      <c r="P29" s="17">
        <f t="shared" si="2"/>
        <v>0.6999873600577826</v>
      </c>
      <c r="Q29" s="17">
        <f t="shared" si="2"/>
        <v>0.38999999999999996</v>
      </c>
      <c r="R29" s="17">
        <f t="shared" si="2"/>
        <v>0.3280706031058144</v>
      </c>
      <c r="S29" s="17">
        <f t="shared" si="2"/>
        <v>16.68</v>
      </c>
      <c r="T29" s="17">
        <f t="shared" si="2"/>
        <v>13.217500000000001</v>
      </c>
      <c r="U29" s="17">
        <f>SUM(U22:U28)</f>
        <v>155.25</v>
      </c>
      <c r="V29" s="17">
        <f>SUM(V22:V28)</f>
        <v>124.44626579992777</v>
      </c>
      <c r="W29" s="17">
        <f>SUM(W22:W28)</f>
        <v>10.14</v>
      </c>
      <c r="X29" s="17">
        <f>SUM(X22:X28)</f>
        <v>7.972287829541351</v>
      </c>
      <c r="Y29" s="62"/>
      <c r="Z29" s="57"/>
      <c r="AA29" s="57"/>
      <c r="AB29" s="57"/>
      <c r="AC29" s="57"/>
      <c r="AD29" s="52"/>
      <c r="AE29" s="52"/>
    </row>
    <row r="30" spans="1:31" ht="15" customHeight="1">
      <c r="A30" s="22"/>
      <c r="B30" s="88" t="s">
        <v>12</v>
      </c>
      <c r="C30" s="43"/>
      <c r="D30" s="43"/>
      <c r="E30" s="28"/>
      <c r="F30" s="28"/>
      <c r="G30" s="28"/>
      <c r="H30" s="29"/>
      <c r="I30" s="29"/>
      <c r="J30" s="29"/>
      <c r="K30" s="29"/>
      <c r="L30" s="29"/>
      <c r="M30" s="29"/>
      <c r="N30" s="29"/>
      <c r="O30" s="41"/>
      <c r="P30" s="45"/>
      <c r="Q30" s="45"/>
      <c r="R30" s="45"/>
      <c r="S30" s="45"/>
      <c r="T30" s="45"/>
      <c r="U30" s="45"/>
      <c r="V30" s="45"/>
      <c r="W30" s="45"/>
      <c r="X30" s="72"/>
      <c r="Y30" s="53"/>
      <c r="Z30" s="52"/>
      <c r="AA30" s="52"/>
      <c r="AB30" s="52"/>
      <c r="AC30" s="52"/>
      <c r="AD30" s="52"/>
      <c r="AE30" s="52"/>
    </row>
    <row r="31" spans="1:30" ht="26.25" customHeight="1">
      <c r="A31" s="115" t="s">
        <v>21</v>
      </c>
      <c r="B31" s="23" t="s">
        <v>128</v>
      </c>
      <c r="C31" s="43" t="s">
        <v>129</v>
      </c>
      <c r="D31" s="43" t="s">
        <v>129</v>
      </c>
      <c r="E31" s="28">
        <v>11.64</v>
      </c>
      <c r="F31" s="28">
        <v>11.64</v>
      </c>
      <c r="G31" s="125">
        <v>6.75</v>
      </c>
      <c r="H31" s="29">
        <v>6.75</v>
      </c>
      <c r="I31" s="125">
        <v>7.74</v>
      </c>
      <c r="J31" s="29">
        <v>7.74</v>
      </c>
      <c r="K31" s="125">
        <v>20.25</v>
      </c>
      <c r="L31" s="29">
        <v>20.25</v>
      </c>
      <c r="M31" s="125">
        <v>183.78</v>
      </c>
      <c r="N31" s="29">
        <v>183.78</v>
      </c>
      <c r="O31" s="126">
        <v>0.1</v>
      </c>
      <c r="P31" s="83">
        <f>O31*215/230</f>
        <v>0.09347826086956522</v>
      </c>
      <c r="Q31" s="126">
        <v>0.29</v>
      </c>
      <c r="R31" s="83">
        <f>Q31*215/230</f>
        <v>0.2710869565217391</v>
      </c>
      <c r="S31" s="125">
        <v>2.46</v>
      </c>
      <c r="T31" s="29">
        <v>2.46</v>
      </c>
      <c r="U31" s="28">
        <v>275.74</v>
      </c>
      <c r="V31" s="29">
        <v>275.74</v>
      </c>
      <c r="W31" s="28">
        <v>0.23</v>
      </c>
      <c r="X31" s="73">
        <v>0.23</v>
      </c>
      <c r="Y31" s="58"/>
      <c r="Z31" s="56"/>
      <c r="AA31" s="56"/>
      <c r="AB31" s="56"/>
      <c r="AC31" s="56"/>
      <c r="AD31" s="1"/>
    </row>
    <row r="32" spans="1:32" ht="15" customHeight="1">
      <c r="A32" s="59"/>
      <c r="B32" s="63" t="s">
        <v>7</v>
      </c>
      <c r="C32" s="107"/>
      <c r="D32" s="107"/>
      <c r="E32" s="110">
        <f>SUM(E31)</f>
        <v>11.64</v>
      </c>
      <c r="F32" s="110">
        <f aca="true" t="shared" si="3" ref="F32:T32">SUM(F31)</f>
        <v>11.64</v>
      </c>
      <c r="G32" s="110">
        <f t="shared" si="3"/>
        <v>6.75</v>
      </c>
      <c r="H32" s="110">
        <f t="shared" si="3"/>
        <v>6.75</v>
      </c>
      <c r="I32" s="110">
        <f t="shared" si="3"/>
        <v>7.74</v>
      </c>
      <c r="J32" s="110">
        <f t="shared" si="3"/>
        <v>7.74</v>
      </c>
      <c r="K32" s="110">
        <f t="shared" si="3"/>
        <v>20.25</v>
      </c>
      <c r="L32" s="110">
        <f t="shared" si="3"/>
        <v>20.25</v>
      </c>
      <c r="M32" s="110">
        <f t="shared" si="3"/>
        <v>183.78</v>
      </c>
      <c r="N32" s="110">
        <f t="shared" si="3"/>
        <v>183.78</v>
      </c>
      <c r="O32" s="110">
        <f t="shared" si="3"/>
        <v>0.1</v>
      </c>
      <c r="P32" s="110">
        <f t="shared" si="3"/>
        <v>0.09347826086956522</v>
      </c>
      <c r="Q32" s="110">
        <f t="shared" si="3"/>
        <v>0.29</v>
      </c>
      <c r="R32" s="110">
        <f t="shared" si="3"/>
        <v>0.2710869565217391</v>
      </c>
      <c r="S32" s="110">
        <f t="shared" si="3"/>
        <v>2.46</v>
      </c>
      <c r="T32" s="110">
        <f t="shared" si="3"/>
        <v>2.46</v>
      </c>
      <c r="U32" s="78">
        <f>SUM(U31:U31)</f>
        <v>275.74</v>
      </c>
      <c r="V32" s="78">
        <f>SUM(V31:V31)</f>
        <v>275.74</v>
      </c>
      <c r="W32" s="78">
        <f>SUM(W31:W31)</f>
        <v>0.23</v>
      </c>
      <c r="X32" s="111">
        <f>SUM(X31:X31)</f>
        <v>0.23</v>
      </c>
      <c r="Y32" s="57"/>
      <c r="Z32" s="57"/>
      <c r="AA32" s="57"/>
      <c r="AB32" s="57"/>
      <c r="AC32" s="57"/>
      <c r="AD32" s="52"/>
      <c r="AE32" s="52"/>
      <c r="AF32" s="52"/>
    </row>
    <row r="33" spans="1:31" ht="15" customHeight="1">
      <c r="A33" s="22"/>
      <c r="B33" s="88" t="s">
        <v>13</v>
      </c>
      <c r="C33" s="43"/>
      <c r="D33" s="43"/>
      <c r="E33" s="28"/>
      <c r="F33" s="28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73"/>
      <c r="Y33" s="58"/>
      <c r="Z33" s="56"/>
      <c r="AA33" s="56"/>
      <c r="AB33" s="56"/>
      <c r="AC33" s="56"/>
      <c r="AD33" s="56"/>
      <c r="AE33" s="52"/>
    </row>
    <row r="34" spans="1:33" ht="15" customHeight="1">
      <c r="A34" s="116"/>
      <c r="B34" s="63" t="s">
        <v>165</v>
      </c>
      <c r="C34" s="64" t="s">
        <v>166</v>
      </c>
      <c r="D34" s="64" t="s">
        <v>168</v>
      </c>
      <c r="E34" s="60">
        <v>8.63</v>
      </c>
      <c r="F34" s="60">
        <v>7.86</v>
      </c>
      <c r="G34" s="28">
        <f>H34*124/113</f>
        <v>0.47185840707964605</v>
      </c>
      <c r="H34" s="61">
        <v>0.43</v>
      </c>
      <c r="I34" s="60">
        <v>0</v>
      </c>
      <c r="J34" s="61">
        <v>0</v>
      </c>
      <c r="K34" s="28">
        <f>L34*124/113</f>
        <v>11.993982300884955</v>
      </c>
      <c r="L34" s="61">
        <v>10.93</v>
      </c>
      <c r="M34" s="28">
        <f>N34*124/113</f>
        <v>46.505486725663715</v>
      </c>
      <c r="N34" s="61">
        <v>42.38</v>
      </c>
      <c r="O34" s="60">
        <v>0.02</v>
      </c>
      <c r="P34" s="61">
        <v>0.02</v>
      </c>
      <c r="Q34" s="60">
        <f>R34*160/150</f>
        <v>0.05333333333333334</v>
      </c>
      <c r="R34" s="61">
        <v>0.05</v>
      </c>
      <c r="S34" s="28">
        <f>T34*124/113</f>
        <v>19.57663716814159</v>
      </c>
      <c r="T34" s="61">
        <v>17.84</v>
      </c>
      <c r="U34" s="60">
        <v>24</v>
      </c>
      <c r="V34" s="61">
        <v>24</v>
      </c>
      <c r="W34" s="60">
        <v>3.3</v>
      </c>
      <c r="X34" s="69">
        <v>3.3</v>
      </c>
      <c r="Y34" s="53"/>
      <c r="Z34" s="56"/>
      <c r="AA34" s="56"/>
      <c r="AB34" s="56"/>
      <c r="AC34" s="52"/>
      <c r="AD34" s="52"/>
      <c r="AE34" s="52"/>
      <c r="AF34" s="52"/>
      <c r="AG34" s="52"/>
    </row>
    <row r="35" spans="1:33" s="7" customFormat="1" ht="27" customHeight="1">
      <c r="A35" s="118" t="s">
        <v>95</v>
      </c>
      <c r="B35" s="23" t="s">
        <v>96</v>
      </c>
      <c r="C35" s="43" t="s">
        <v>10</v>
      </c>
      <c r="D35" s="43" t="s">
        <v>10</v>
      </c>
      <c r="E35" s="28">
        <v>18.36</v>
      </c>
      <c r="F35" s="28">
        <v>18.36</v>
      </c>
      <c r="G35" s="28">
        <v>9.9</v>
      </c>
      <c r="H35" s="29">
        <v>9.9</v>
      </c>
      <c r="I35" s="29">
        <v>4.2</v>
      </c>
      <c r="J35" s="29">
        <v>4.2</v>
      </c>
      <c r="K35" s="29">
        <v>4.65</v>
      </c>
      <c r="L35" s="29">
        <v>4.65</v>
      </c>
      <c r="M35" s="29">
        <v>94.9</v>
      </c>
      <c r="N35" s="29">
        <v>94.9</v>
      </c>
      <c r="O35" s="29">
        <v>0.09</v>
      </c>
      <c r="P35" s="29">
        <v>0.09</v>
      </c>
      <c r="Q35" s="29">
        <v>0.1</v>
      </c>
      <c r="R35" s="29">
        <v>0.1</v>
      </c>
      <c r="S35" s="29">
        <v>2.1</v>
      </c>
      <c r="T35" s="29">
        <v>2.1</v>
      </c>
      <c r="U35" s="29">
        <v>23.97</v>
      </c>
      <c r="V35" s="29">
        <v>23.97</v>
      </c>
      <c r="W35" s="29">
        <v>0.61</v>
      </c>
      <c r="X35" s="29">
        <v>0.61</v>
      </c>
      <c r="Y35" s="81"/>
      <c r="Z35" s="81"/>
      <c r="AA35" s="81"/>
      <c r="AB35" s="81"/>
      <c r="AC35" s="81"/>
      <c r="AD35" s="75"/>
      <c r="AE35" s="75"/>
      <c r="AF35" s="75"/>
      <c r="AG35" s="75"/>
    </row>
    <row r="36" spans="1:29" ht="15" customHeight="1">
      <c r="A36" s="115" t="s">
        <v>158</v>
      </c>
      <c r="B36" s="23" t="s">
        <v>159</v>
      </c>
      <c r="C36" s="43" t="s">
        <v>6</v>
      </c>
      <c r="D36" s="43" t="s">
        <v>67</v>
      </c>
      <c r="E36" s="28">
        <v>10.65</v>
      </c>
      <c r="F36" s="28">
        <v>9.23</v>
      </c>
      <c r="G36" s="28">
        <v>3.15</v>
      </c>
      <c r="H36" s="29">
        <f>G36*130/150</f>
        <v>2.73</v>
      </c>
      <c r="I36" s="28">
        <v>9.6</v>
      </c>
      <c r="J36" s="29">
        <f>I36*130/150</f>
        <v>8.32</v>
      </c>
      <c r="K36" s="28">
        <v>27.71</v>
      </c>
      <c r="L36" s="29">
        <f>K36*130/150</f>
        <v>24.015333333333334</v>
      </c>
      <c r="M36" s="28">
        <v>209.81</v>
      </c>
      <c r="N36" s="29">
        <f>M36*130/150</f>
        <v>181.83533333333332</v>
      </c>
      <c r="O36" s="28">
        <v>0.15</v>
      </c>
      <c r="P36" s="41">
        <v>0.1</v>
      </c>
      <c r="Q36" s="28">
        <f>R36*150/100</f>
        <v>0.075</v>
      </c>
      <c r="R36" s="41">
        <v>0.05</v>
      </c>
      <c r="S36" s="28">
        <v>10.92</v>
      </c>
      <c r="T36" s="29">
        <f>S36*130/150</f>
        <v>9.463999999999999</v>
      </c>
      <c r="U36" s="28">
        <f>V36*150/100</f>
        <v>41.655</v>
      </c>
      <c r="V36" s="41">
        <v>27.77</v>
      </c>
      <c r="W36" s="28">
        <f>X36*150/100</f>
        <v>1.8</v>
      </c>
      <c r="X36" s="41">
        <v>1.2</v>
      </c>
      <c r="Z36" s="52"/>
      <c r="AA36" s="52"/>
      <c r="AB36" s="52"/>
      <c r="AC36" s="52"/>
    </row>
    <row r="37" spans="1:31" ht="15" customHeight="1">
      <c r="A37" s="116" t="s">
        <v>75</v>
      </c>
      <c r="B37" s="66" t="s">
        <v>76</v>
      </c>
      <c r="C37" s="64" t="s">
        <v>5</v>
      </c>
      <c r="D37" s="64" t="s">
        <v>6</v>
      </c>
      <c r="E37" s="60">
        <v>0.58</v>
      </c>
      <c r="F37" s="60">
        <v>0.44</v>
      </c>
      <c r="G37" s="60">
        <v>0.18</v>
      </c>
      <c r="H37" s="61">
        <v>0.13</v>
      </c>
      <c r="I37" s="60">
        <f>J37*200/150</f>
        <v>0</v>
      </c>
      <c r="J37" s="61">
        <v>0</v>
      </c>
      <c r="K37" s="60">
        <v>4.78</v>
      </c>
      <c r="L37" s="61">
        <v>3.58</v>
      </c>
      <c r="M37" s="60">
        <v>19.9</v>
      </c>
      <c r="N37" s="61">
        <v>14.92</v>
      </c>
      <c r="O37" s="60">
        <f>P37*200/150</f>
        <v>0.013333333333333334</v>
      </c>
      <c r="P37" s="68">
        <v>0.01</v>
      </c>
      <c r="Q37" s="60">
        <f>R37*200/150</f>
        <v>0.013333333333333334</v>
      </c>
      <c r="R37" s="68">
        <v>0.01</v>
      </c>
      <c r="S37" s="60">
        <v>0.04</v>
      </c>
      <c r="T37" s="68">
        <v>0.03</v>
      </c>
      <c r="U37" s="60">
        <f>V37*200/150</f>
        <v>5.053333333333334</v>
      </c>
      <c r="V37" s="68">
        <v>3.79</v>
      </c>
      <c r="W37" s="60">
        <f>X37*200/150</f>
        <v>0.84</v>
      </c>
      <c r="X37" s="109">
        <v>0.63</v>
      </c>
      <c r="Y37" s="52"/>
      <c r="Z37" s="52"/>
      <c r="AA37" s="52"/>
      <c r="AB37" s="52"/>
      <c r="AC37" s="52"/>
      <c r="AD37" s="52"/>
      <c r="AE37" s="52"/>
    </row>
    <row r="38" spans="1:31" s="16" customFormat="1" ht="15" customHeight="1">
      <c r="A38" s="115"/>
      <c r="B38" s="23" t="s">
        <v>11</v>
      </c>
      <c r="C38" s="43" t="s">
        <v>14</v>
      </c>
      <c r="D38" s="43" t="s">
        <v>14</v>
      </c>
      <c r="E38" s="28">
        <v>1.22</v>
      </c>
      <c r="F38" s="28">
        <v>1.22</v>
      </c>
      <c r="G38" s="28">
        <v>1.6</v>
      </c>
      <c r="H38" s="28">
        <v>1.6</v>
      </c>
      <c r="I38" s="28">
        <v>0.4</v>
      </c>
      <c r="J38" s="28">
        <v>0.4</v>
      </c>
      <c r="K38" s="28">
        <v>10</v>
      </c>
      <c r="L38" s="28">
        <v>10</v>
      </c>
      <c r="M38" s="29">
        <v>54</v>
      </c>
      <c r="N38" s="29">
        <v>54</v>
      </c>
      <c r="O38" s="42">
        <v>0.04</v>
      </c>
      <c r="P38" s="46">
        <v>0.04</v>
      </c>
      <c r="Q38" s="42">
        <v>0.02</v>
      </c>
      <c r="R38" s="46">
        <v>0.02</v>
      </c>
      <c r="S38" s="42">
        <v>0</v>
      </c>
      <c r="T38" s="46">
        <v>0</v>
      </c>
      <c r="U38" s="42">
        <v>7.4</v>
      </c>
      <c r="V38" s="46">
        <v>7.4</v>
      </c>
      <c r="W38" s="42">
        <v>0.56</v>
      </c>
      <c r="X38" s="46">
        <v>0.56</v>
      </c>
      <c r="Y38" s="55"/>
      <c r="Z38" s="55"/>
      <c r="AA38" s="55"/>
      <c r="AB38" s="55"/>
      <c r="AC38" s="55"/>
      <c r="AD38" s="55"/>
      <c r="AE38" s="55"/>
    </row>
    <row r="39" spans="1:31" ht="15" customHeight="1">
      <c r="A39" s="22"/>
      <c r="B39" s="23" t="s">
        <v>7</v>
      </c>
      <c r="C39" s="43"/>
      <c r="D39" s="43"/>
      <c r="E39" s="17">
        <f>SUM(E34:E38)</f>
        <v>39.44</v>
      </c>
      <c r="F39" s="17">
        <f aca="true" t="shared" si="4" ref="F39:T39">SUM(F34:F38)</f>
        <v>37.11</v>
      </c>
      <c r="G39" s="17">
        <f t="shared" si="4"/>
        <v>15.301858407079646</v>
      </c>
      <c r="H39" s="17">
        <f t="shared" si="4"/>
        <v>14.790000000000001</v>
      </c>
      <c r="I39" s="17">
        <f t="shared" si="4"/>
        <v>14.200000000000001</v>
      </c>
      <c r="J39" s="17">
        <f t="shared" si="4"/>
        <v>12.92</v>
      </c>
      <c r="K39" s="17">
        <f t="shared" si="4"/>
        <v>59.13398230088496</v>
      </c>
      <c r="L39" s="17">
        <f t="shared" si="4"/>
        <v>53.175333333333334</v>
      </c>
      <c r="M39" s="17">
        <f t="shared" si="4"/>
        <v>425.1154867256637</v>
      </c>
      <c r="N39" s="17">
        <f t="shared" si="4"/>
        <v>388.0353333333333</v>
      </c>
      <c r="O39" s="17">
        <f t="shared" si="4"/>
        <v>0.3133333333333333</v>
      </c>
      <c r="P39" s="17">
        <f t="shared" si="4"/>
        <v>0.26</v>
      </c>
      <c r="Q39" s="17">
        <f t="shared" si="4"/>
        <v>0.26166666666666666</v>
      </c>
      <c r="R39" s="17">
        <f t="shared" si="4"/>
        <v>0.23</v>
      </c>
      <c r="S39" s="17">
        <f t="shared" si="4"/>
        <v>32.63663716814159</v>
      </c>
      <c r="T39" s="17">
        <f t="shared" si="4"/>
        <v>29.434</v>
      </c>
      <c r="U39" s="17">
        <f>SUM(U35:U38)</f>
        <v>78.07833333333333</v>
      </c>
      <c r="V39" s="17">
        <f>SUM(V35:V38)</f>
        <v>62.92999999999999</v>
      </c>
      <c r="W39" s="17">
        <f>SUM(W35:W38)</f>
        <v>3.81</v>
      </c>
      <c r="X39" s="17">
        <f>SUM(X35:X38)</f>
        <v>3</v>
      </c>
      <c r="Y39" s="71">
        <f>SUM(Y35:Y38)</f>
        <v>0</v>
      </c>
      <c r="Z39" s="57"/>
      <c r="AA39" s="57"/>
      <c r="AB39" s="57"/>
      <c r="AC39" s="57"/>
      <c r="AD39" s="52"/>
      <c r="AE39" s="52"/>
    </row>
    <row r="40" spans="1:31" ht="15" customHeight="1">
      <c r="A40" s="22"/>
      <c r="B40" s="23" t="s">
        <v>15</v>
      </c>
      <c r="C40" s="43"/>
      <c r="D40" s="43"/>
      <c r="E40" s="17">
        <f aca="true" t="shared" si="5" ref="E40:T40">SUM(E39,E32,E29,E20,E17)</f>
        <v>107.65</v>
      </c>
      <c r="F40" s="17">
        <f t="shared" si="5"/>
        <v>99.39000000000001</v>
      </c>
      <c r="G40" s="17">
        <f t="shared" si="5"/>
        <v>79.5557045609258</v>
      </c>
      <c r="H40" s="17">
        <f t="shared" si="5"/>
        <v>72.32999999999998</v>
      </c>
      <c r="I40" s="17">
        <f t="shared" si="5"/>
        <v>83.8476923076923</v>
      </c>
      <c r="J40" s="17">
        <f t="shared" si="5"/>
        <v>70.376</v>
      </c>
      <c r="K40" s="17">
        <f t="shared" si="5"/>
        <v>342.1985976855003</v>
      </c>
      <c r="L40" s="17">
        <f t="shared" si="5"/>
        <v>289.7253333333333</v>
      </c>
      <c r="M40" s="17">
        <f t="shared" si="5"/>
        <v>2579.340102110279</v>
      </c>
      <c r="N40" s="17">
        <f t="shared" si="5"/>
        <v>2020.9853333333335</v>
      </c>
      <c r="O40" s="17">
        <f t="shared" si="5"/>
        <v>1.5033333333333334</v>
      </c>
      <c r="P40" s="17">
        <f t="shared" si="5"/>
        <v>1.1967989542606812</v>
      </c>
      <c r="Q40" s="17">
        <f t="shared" si="5"/>
        <v>1.0656666666666668</v>
      </c>
      <c r="R40" s="17">
        <f t="shared" si="5"/>
        <v>0.9191575596275534</v>
      </c>
      <c r="S40" s="17">
        <f t="shared" si="5"/>
        <v>57.48663716814159</v>
      </c>
      <c r="T40" s="17">
        <f t="shared" si="5"/>
        <v>50.25150000000001</v>
      </c>
      <c r="U40" s="17">
        <f>U39+U32+U29+U20+U17</f>
        <v>591.611</v>
      </c>
      <c r="V40" s="17">
        <f>V39+V32+V29+V20+V17</f>
        <v>519.9562657999278</v>
      </c>
      <c r="W40" s="17">
        <f>W39+W32+W29+W20+W17</f>
        <v>15.988666666666667</v>
      </c>
      <c r="X40" s="17">
        <f>X39+X32+X29+X20+X17</f>
        <v>12.512287829541352</v>
      </c>
      <c r="Y40" s="71">
        <f>Y39+Y32+Y29+Y20+Y17</f>
        <v>0</v>
      </c>
      <c r="Z40" s="57"/>
      <c r="AA40" s="57"/>
      <c r="AB40" s="57"/>
      <c r="AC40" s="57"/>
      <c r="AD40" s="52"/>
      <c r="AE40" s="52"/>
    </row>
    <row r="41" spans="1:31" ht="15" customHeight="1">
      <c r="A41" s="22"/>
      <c r="B41" s="123" t="s">
        <v>138</v>
      </c>
      <c r="C41" s="43"/>
      <c r="D41" s="43"/>
      <c r="E41" s="28"/>
      <c r="F41" s="28"/>
      <c r="G41" s="28"/>
      <c r="H41" s="29"/>
      <c r="I41" s="29"/>
      <c r="J41" s="29"/>
      <c r="K41" s="29"/>
      <c r="L41" s="29"/>
      <c r="M41" s="29"/>
      <c r="N41" s="29"/>
      <c r="O41" s="41"/>
      <c r="P41" s="41"/>
      <c r="Q41" s="41"/>
      <c r="R41" s="41"/>
      <c r="S41" s="41"/>
      <c r="T41" s="41"/>
      <c r="U41" s="41"/>
      <c r="V41" s="41"/>
      <c r="W41" s="41"/>
      <c r="X41" s="74"/>
      <c r="Y41" s="53"/>
      <c r="Z41" s="52"/>
      <c r="AA41" s="52"/>
      <c r="AB41" s="52"/>
      <c r="AC41" s="52"/>
      <c r="AD41" s="52"/>
      <c r="AE41" s="52"/>
    </row>
    <row r="42" spans="1:31" ht="15" customHeight="1">
      <c r="A42" s="22"/>
      <c r="B42" s="88" t="s">
        <v>4</v>
      </c>
      <c r="C42" s="43"/>
      <c r="D42" s="43"/>
      <c r="E42" s="28"/>
      <c r="F42" s="28"/>
      <c r="G42" s="28"/>
      <c r="H42" s="29"/>
      <c r="I42" s="29"/>
      <c r="J42" s="29"/>
      <c r="K42" s="29"/>
      <c r="L42" s="29"/>
      <c r="M42" s="29"/>
      <c r="N42" s="29"/>
      <c r="O42" s="41"/>
      <c r="P42" s="41"/>
      <c r="Q42" s="41"/>
      <c r="R42" s="41"/>
      <c r="S42" s="41"/>
      <c r="T42" s="41"/>
      <c r="U42" s="41"/>
      <c r="V42" s="41"/>
      <c r="W42" s="41"/>
      <c r="X42" s="74"/>
      <c r="Y42" s="53"/>
      <c r="Z42" s="52"/>
      <c r="AA42" s="52"/>
      <c r="AB42" s="52"/>
      <c r="AC42" s="52"/>
      <c r="AD42" s="52"/>
      <c r="AE42" s="52"/>
    </row>
    <row r="43" spans="1:30" s="7" customFormat="1" ht="15" customHeight="1">
      <c r="A43" s="115" t="s">
        <v>50</v>
      </c>
      <c r="B43" s="23" t="s">
        <v>52</v>
      </c>
      <c r="C43" s="43" t="s">
        <v>74</v>
      </c>
      <c r="D43" s="43" t="s">
        <v>74</v>
      </c>
      <c r="E43" s="28">
        <v>4.18</v>
      </c>
      <c r="F43" s="28">
        <v>4.18</v>
      </c>
      <c r="G43" s="28">
        <v>1.63</v>
      </c>
      <c r="H43" s="29">
        <v>1.63</v>
      </c>
      <c r="I43" s="29">
        <v>4.7</v>
      </c>
      <c r="J43" s="29">
        <v>4.7</v>
      </c>
      <c r="K43" s="29">
        <v>10.4</v>
      </c>
      <c r="L43" s="29">
        <v>10.4</v>
      </c>
      <c r="M43" s="29">
        <v>90.42</v>
      </c>
      <c r="N43" s="29">
        <v>90.42</v>
      </c>
      <c r="O43" s="40">
        <v>0.08</v>
      </c>
      <c r="P43" s="44">
        <v>0.05</v>
      </c>
      <c r="Q43" s="40">
        <v>0.04</v>
      </c>
      <c r="R43" s="44">
        <v>0.02</v>
      </c>
      <c r="S43" s="40">
        <v>0</v>
      </c>
      <c r="T43" s="29">
        <f>S43*25/45</f>
        <v>0</v>
      </c>
      <c r="U43" s="42">
        <v>13.6</v>
      </c>
      <c r="V43" s="46">
        <v>8.6</v>
      </c>
      <c r="W43" s="42">
        <v>0.81</v>
      </c>
      <c r="X43" s="46">
        <v>0.49</v>
      </c>
      <c r="Y43" s="75"/>
      <c r="Z43" s="75"/>
      <c r="AA43" s="75"/>
      <c r="AB43" s="75"/>
      <c r="AC43" s="75"/>
      <c r="AD43" s="75"/>
    </row>
    <row r="44" spans="1:33" ht="25.5">
      <c r="A44" s="115" t="s">
        <v>70</v>
      </c>
      <c r="B44" s="23" t="s">
        <v>115</v>
      </c>
      <c r="C44" s="43" t="s">
        <v>5</v>
      </c>
      <c r="D44" s="43" t="s">
        <v>6</v>
      </c>
      <c r="E44" s="60">
        <v>6.84</v>
      </c>
      <c r="F44" s="60">
        <v>5.13</v>
      </c>
      <c r="G44" s="28">
        <v>4.47</v>
      </c>
      <c r="H44" s="28">
        <v>3.35</v>
      </c>
      <c r="I44" s="28">
        <v>7.13</v>
      </c>
      <c r="J44" s="28">
        <v>5.35</v>
      </c>
      <c r="K44" s="28">
        <v>15.38</v>
      </c>
      <c r="L44" s="28">
        <v>11.5</v>
      </c>
      <c r="M44" s="28">
        <v>123.24</v>
      </c>
      <c r="N44" s="28">
        <v>92.4</v>
      </c>
      <c r="O44" s="29">
        <v>0.09</v>
      </c>
      <c r="P44" s="28">
        <f>O44*150/200</f>
        <v>0.0675</v>
      </c>
      <c r="Q44" s="29">
        <v>0.14</v>
      </c>
      <c r="R44" s="28">
        <f>Q44*150/200</f>
        <v>0.10500000000000002</v>
      </c>
      <c r="S44" s="29">
        <v>1</v>
      </c>
      <c r="T44" s="28">
        <v>0.75</v>
      </c>
      <c r="U44" s="29">
        <v>129.32</v>
      </c>
      <c r="V44" s="28">
        <f>U44*150/200</f>
        <v>96.99</v>
      </c>
      <c r="W44" s="29">
        <v>0.42</v>
      </c>
      <c r="X44" s="112">
        <f>W44*150/200</f>
        <v>0.315</v>
      </c>
      <c r="Y44" s="53"/>
      <c r="Z44" s="52"/>
      <c r="AA44" s="52"/>
      <c r="AB44" s="52"/>
      <c r="AC44" s="52"/>
      <c r="AD44" s="52"/>
      <c r="AE44" s="52"/>
      <c r="AF44" s="52"/>
      <c r="AG44" s="52"/>
    </row>
    <row r="45" spans="1:31" ht="15" customHeight="1">
      <c r="A45" s="115" t="s">
        <v>30</v>
      </c>
      <c r="B45" s="23" t="s">
        <v>31</v>
      </c>
      <c r="C45" s="43" t="s">
        <v>29</v>
      </c>
      <c r="D45" s="43" t="s">
        <v>6</v>
      </c>
      <c r="E45" s="28">
        <v>6.12</v>
      </c>
      <c r="F45" s="28">
        <v>5.1</v>
      </c>
      <c r="G45" s="40">
        <v>2.95</v>
      </c>
      <c r="H45" s="40">
        <v>2.46</v>
      </c>
      <c r="I45" s="40">
        <v>3.24</v>
      </c>
      <c r="J45" s="40">
        <v>2.7</v>
      </c>
      <c r="K45" s="40">
        <v>22.82</v>
      </c>
      <c r="L45" s="40">
        <v>19.02</v>
      </c>
      <c r="M45" s="40">
        <v>132.26</v>
      </c>
      <c r="N45" s="29">
        <v>110.22</v>
      </c>
      <c r="O45" s="40">
        <f>P45*180/150</f>
        <v>0.024</v>
      </c>
      <c r="P45" s="44">
        <v>0.02</v>
      </c>
      <c r="Q45" s="40">
        <f>R45*180/150</f>
        <v>0.12</v>
      </c>
      <c r="R45" s="44">
        <v>0.1</v>
      </c>
      <c r="S45" s="40">
        <v>1.43</v>
      </c>
      <c r="T45" s="44">
        <v>1.2</v>
      </c>
      <c r="U45" s="40">
        <f>V45*180/150</f>
        <v>109.58399999999999</v>
      </c>
      <c r="V45" s="44">
        <v>91.32</v>
      </c>
      <c r="W45" s="40">
        <f>X45*180/150</f>
        <v>0.36</v>
      </c>
      <c r="X45" s="44">
        <v>0.3</v>
      </c>
      <c r="Y45" s="52"/>
      <c r="Z45" s="52"/>
      <c r="AA45" s="52"/>
      <c r="AB45" s="52"/>
      <c r="AC45" s="52"/>
      <c r="AD45" s="52"/>
      <c r="AE45" s="52"/>
    </row>
    <row r="46" spans="1:31" ht="15" customHeight="1">
      <c r="A46" s="22"/>
      <c r="B46" s="23" t="s">
        <v>7</v>
      </c>
      <c r="C46" s="43"/>
      <c r="D46" s="43"/>
      <c r="E46" s="17">
        <f>SUM(E43:E45)</f>
        <v>17.14</v>
      </c>
      <c r="F46" s="17">
        <f aca="true" t="shared" si="6" ref="F46:T46">SUM(F43:F45)</f>
        <v>14.409999999999998</v>
      </c>
      <c r="G46" s="17">
        <f t="shared" si="6"/>
        <v>9.05</v>
      </c>
      <c r="H46" s="17">
        <f t="shared" si="6"/>
        <v>7.44</v>
      </c>
      <c r="I46" s="17">
        <f t="shared" si="6"/>
        <v>15.07</v>
      </c>
      <c r="J46" s="17">
        <f t="shared" si="6"/>
        <v>12.75</v>
      </c>
      <c r="K46" s="17">
        <f t="shared" si="6"/>
        <v>48.6</v>
      </c>
      <c r="L46" s="17">
        <f t="shared" si="6"/>
        <v>40.92</v>
      </c>
      <c r="M46" s="17">
        <f t="shared" si="6"/>
        <v>345.91999999999996</v>
      </c>
      <c r="N46" s="17">
        <f t="shared" si="6"/>
        <v>293.03999999999996</v>
      </c>
      <c r="O46" s="17">
        <f t="shared" si="6"/>
        <v>0.19399999999999998</v>
      </c>
      <c r="P46" s="17">
        <f t="shared" si="6"/>
        <v>0.1375</v>
      </c>
      <c r="Q46" s="17">
        <f t="shared" si="6"/>
        <v>0.30000000000000004</v>
      </c>
      <c r="R46" s="17">
        <f t="shared" si="6"/>
        <v>0.22500000000000003</v>
      </c>
      <c r="S46" s="17">
        <f t="shared" si="6"/>
        <v>2.4299999999999997</v>
      </c>
      <c r="T46" s="17">
        <f t="shared" si="6"/>
        <v>1.95</v>
      </c>
      <c r="U46" s="17">
        <f aca="true" t="shared" si="7" ref="U46:AB46">SUM(U43:U45)</f>
        <v>252.50399999999996</v>
      </c>
      <c r="V46" s="17">
        <f t="shared" si="7"/>
        <v>196.90999999999997</v>
      </c>
      <c r="W46" s="17">
        <f t="shared" si="7"/>
        <v>1.5899999999999999</v>
      </c>
      <c r="X46" s="17">
        <f t="shared" si="7"/>
        <v>1.105</v>
      </c>
      <c r="Y46" s="17">
        <f t="shared" si="7"/>
        <v>0</v>
      </c>
      <c r="Z46" s="17">
        <f t="shared" si="7"/>
        <v>0</v>
      </c>
      <c r="AA46" s="17">
        <f t="shared" si="7"/>
        <v>0</v>
      </c>
      <c r="AB46" s="17">
        <f t="shared" si="7"/>
        <v>0</v>
      </c>
      <c r="AC46" s="57"/>
      <c r="AD46" s="52"/>
      <c r="AE46" s="52"/>
    </row>
    <row r="47" spans="1:31" ht="15" customHeight="1">
      <c r="A47" s="22"/>
      <c r="B47" s="88" t="s">
        <v>16</v>
      </c>
      <c r="C47" s="43"/>
      <c r="D47" s="43"/>
      <c r="E47" s="28"/>
      <c r="F47" s="28"/>
      <c r="G47" s="28"/>
      <c r="H47" s="29"/>
      <c r="I47" s="29"/>
      <c r="J47" s="29"/>
      <c r="K47" s="29"/>
      <c r="L47" s="29"/>
      <c r="M47" s="29"/>
      <c r="N47" s="29"/>
      <c r="O47" s="41"/>
      <c r="P47" s="41"/>
      <c r="Q47" s="41"/>
      <c r="R47" s="41"/>
      <c r="S47" s="41"/>
      <c r="T47" s="41"/>
      <c r="U47" s="41"/>
      <c r="V47" s="41"/>
      <c r="W47" s="41"/>
      <c r="X47" s="74"/>
      <c r="Y47" s="53"/>
      <c r="Z47" s="52"/>
      <c r="AA47" s="52"/>
      <c r="AB47" s="52"/>
      <c r="AC47" s="52"/>
      <c r="AD47" s="52"/>
      <c r="AE47" s="52"/>
    </row>
    <row r="48" spans="1:31" s="1" customFormat="1" ht="15" customHeight="1">
      <c r="A48" s="116" t="s">
        <v>49</v>
      </c>
      <c r="B48" s="63" t="s">
        <v>54</v>
      </c>
      <c r="C48" s="64" t="s">
        <v>92</v>
      </c>
      <c r="D48" s="64" t="s">
        <v>92</v>
      </c>
      <c r="E48" s="60">
        <v>6.39</v>
      </c>
      <c r="F48" s="60">
        <v>6.39</v>
      </c>
      <c r="G48" s="65">
        <v>0</v>
      </c>
      <c r="H48" s="67">
        <v>0</v>
      </c>
      <c r="I48" s="65">
        <f>J48*180/150</f>
        <v>0</v>
      </c>
      <c r="J48" s="67">
        <v>0</v>
      </c>
      <c r="K48" s="65">
        <v>10.2</v>
      </c>
      <c r="L48" s="67">
        <v>10.2</v>
      </c>
      <c r="M48" s="65">
        <v>40.8</v>
      </c>
      <c r="N48" s="67">
        <v>40.8</v>
      </c>
      <c r="O48" s="65">
        <f>P48*180/150</f>
        <v>0</v>
      </c>
      <c r="P48" s="67">
        <v>0</v>
      </c>
      <c r="Q48" s="65">
        <f>R48*180/150</f>
        <v>0.024</v>
      </c>
      <c r="R48" s="67">
        <v>0.02</v>
      </c>
      <c r="S48" s="65">
        <v>3.4</v>
      </c>
      <c r="T48" s="67">
        <v>3.4</v>
      </c>
      <c r="U48" s="65">
        <f>V48*180/150</f>
        <v>9.996</v>
      </c>
      <c r="V48" s="67">
        <v>8.33</v>
      </c>
      <c r="W48" s="65">
        <f>X48*180/150</f>
        <v>0.252</v>
      </c>
      <c r="X48" s="100">
        <v>0.21</v>
      </c>
      <c r="Y48" s="56"/>
      <c r="Z48" s="56"/>
      <c r="AA48" s="56"/>
      <c r="AB48" s="56"/>
      <c r="AC48" s="56"/>
      <c r="AD48" s="56"/>
      <c r="AE48" s="56"/>
    </row>
    <row r="49" spans="1:31" ht="15" customHeight="1">
      <c r="A49" s="22"/>
      <c r="B49" s="23" t="s">
        <v>7</v>
      </c>
      <c r="C49" s="43"/>
      <c r="D49" s="43"/>
      <c r="E49" s="17">
        <f>SUM(E48)</f>
        <v>6.39</v>
      </c>
      <c r="F49" s="17">
        <f aca="true" t="shared" si="8" ref="F49:T49">SUM(F48)</f>
        <v>6.39</v>
      </c>
      <c r="G49" s="17">
        <f t="shared" si="8"/>
        <v>0</v>
      </c>
      <c r="H49" s="17">
        <f t="shared" si="8"/>
        <v>0</v>
      </c>
      <c r="I49" s="17">
        <f t="shared" si="8"/>
        <v>0</v>
      </c>
      <c r="J49" s="17">
        <f t="shared" si="8"/>
        <v>0</v>
      </c>
      <c r="K49" s="17">
        <f t="shared" si="8"/>
        <v>10.2</v>
      </c>
      <c r="L49" s="17">
        <f t="shared" si="8"/>
        <v>10.2</v>
      </c>
      <c r="M49" s="17">
        <f t="shared" si="8"/>
        <v>40.8</v>
      </c>
      <c r="N49" s="17">
        <f t="shared" si="8"/>
        <v>40.8</v>
      </c>
      <c r="O49" s="17">
        <f t="shared" si="8"/>
        <v>0</v>
      </c>
      <c r="P49" s="17">
        <f t="shared" si="8"/>
        <v>0</v>
      </c>
      <c r="Q49" s="17">
        <f t="shared" si="8"/>
        <v>0.024</v>
      </c>
      <c r="R49" s="17">
        <f t="shared" si="8"/>
        <v>0.02</v>
      </c>
      <c r="S49" s="17">
        <f t="shared" si="8"/>
        <v>3.4</v>
      </c>
      <c r="T49" s="17">
        <f t="shared" si="8"/>
        <v>3.4</v>
      </c>
      <c r="U49" s="17" t="e">
        <f>SUM(#REF!)</f>
        <v>#REF!</v>
      </c>
      <c r="V49" s="17" t="e">
        <f>SUM(#REF!)</f>
        <v>#REF!</v>
      </c>
      <c r="W49" s="17" t="e">
        <f>SUM(#REF!)</f>
        <v>#REF!</v>
      </c>
      <c r="X49" s="17" t="e">
        <f>SUM(#REF!)</f>
        <v>#REF!</v>
      </c>
      <c r="Y49" s="71" t="e">
        <f>SUM(#REF!)</f>
        <v>#REF!</v>
      </c>
      <c r="Z49" s="57"/>
      <c r="AA49" s="57"/>
      <c r="AB49" s="57"/>
      <c r="AC49" s="57"/>
      <c r="AD49" s="52"/>
      <c r="AE49" s="52"/>
    </row>
    <row r="50" spans="1:31" ht="15" customHeight="1">
      <c r="A50" s="22"/>
      <c r="B50" s="88" t="s">
        <v>9</v>
      </c>
      <c r="C50" s="43"/>
      <c r="D50" s="43"/>
      <c r="E50" s="28"/>
      <c r="F50" s="28"/>
      <c r="G50" s="28"/>
      <c r="H50" s="29"/>
      <c r="I50" s="29"/>
      <c r="J50" s="29"/>
      <c r="K50" s="29"/>
      <c r="L50" s="29"/>
      <c r="M50" s="29"/>
      <c r="N50" s="29"/>
      <c r="O50" s="41"/>
      <c r="P50" s="41"/>
      <c r="Q50" s="41"/>
      <c r="R50" s="41"/>
      <c r="S50" s="41"/>
      <c r="T50" s="41"/>
      <c r="U50" s="41"/>
      <c r="V50" s="41"/>
      <c r="W50" s="41"/>
      <c r="X50" s="74"/>
      <c r="Y50" s="53"/>
      <c r="Z50" s="52"/>
      <c r="AA50" s="52"/>
      <c r="AB50" s="52"/>
      <c r="AC50" s="52"/>
      <c r="AD50" s="52"/>
      <c r="AE50" s="52"/>
    </row>
    <row r="51" spans="1:24" ht="24" customHeight="1">
      <c r="A51" s="142" t="s">
        <v>141</v>
      </c>
      <c r="B51" s="23" t="s">
        <v>142</v>
      </c>
      <c r="C51" s="43" t="s">
        <v>143</v>
      </c>
      <c r="D51" s="43" t="s">
        <v>144</v>
      </c>
      <c r="E51" s="28">
        <v>4.28</v>
      </c>
      <c r="F51" s="28">
        <v>3.22</v>
      </c>
      <c r="G51" s="28">
        <v>0.5</v>
      </c>
      <c r="H51" s="29">
        <f>G51*45/60</f>
        <v>0.375</v>
      </c>
      <c r="I51" s="29">
        <v>2.25</v>
      </c>
      <c r="J51" s="29">
        <f>I51*45/60</f>
        <v>1.6875</v>
      </c>
      <c r="K51" s="29">
        <v>3.61</v>
      </c>
      <c r="L51" s="29">
        <f>K51*45/60</f>
        <v>2.7075</v>
      </c>
      <c r="M51" s="29">
        <v>36.65</v>
      </c>
      <c r="N51" s="29">
        <f>M51*45/60</f>
        <v>27.4875</v>
      </c>
      <c r="O51" s="29">
        <v>0</v>
      </c>
      <c r="P51" s="29">
        <f>O51*45/60</f>
        <v>0</v>
      </c>
      <c r="Q51" s="29">
        <v>0</v>
      </c>
      <c r="R51" s="29">
        <f>Q51*45/60</f>
        <v>0</v>
      </c>
      <c r="S51" s="29">
        <v>10.86</v>
      </c>
      <c r="T51" s="29">
        <f>S51*45/60</f>
        <v>8.145</v>
      </c>
      <c r="U51" s="29">
        <v>37.322</v>
      </c>
      <c r="V51" s="29">
        <f>U51*45/60</f>
        <v>27.991500000000006</v>
      </c>
      <c r="W51" s="29">
        <v>0.96</v>
      </c>
      <c r="X51" s="29">
        <f>W51*45/60</f>
        <v>0.72</v>
      </c>
    </row>
    <row r="52" spans="1:24" s="7" customFormat="1" ht="27" customHeight="1">
      <c r="A52" s="122" t="s">
        <v>97</v>
      </c>
      <c r="B52" s="66" t="s">
        <v>98</v>
      </c>
      <c r="C52" s="64" t="s">
        <v>57</v>
      </c>
      <c r="D52" s="64" t="s">
        <v>58</v>
      </c>
      <c r="E52" s="138">
        <v>11.41</v>
      </c>
      <c r="F52" s="60">
        <v>10.48</v>
      </c>
      <c r="G52" s="65">
        <v>6.72</v>
      </c>
      <c r="H52" s="65">
        <v>4.61</v>
      </c>
      <c r="I52" s="65">
        <v>8.51</v>
      </c>
      <c r="J52" s="65">
        <v>4.77</v>
      </c>
      <c r="K52" s="65">
        <v>20.31</v>
      </c>
      <c r="L52" s="65">
        <v>17.89</v>
      </c>
      <c r="M52" s="65">
        <v>140.12</v>
      </c>
      <c r="N52" s="65">
        <v>115.5</v>
      </c>
      <c r="O52" s="70">
        <v>0.14</v>
      </c>
      <c r="P52" s="77">
        <v>0.11</v>
      </c>
      <c r="Q52" s="70">
        <v>0.11</v>
      </c>
      <c r="R52" s="77">
        <v>0.11</v>
      </c>
      <c r="S52" s="70">
        <v>10.78</v>
      </c>
      <c r="T52" s="77">
        <v>10.78</v>
      </c>
      <c r="U52" s="70">
        <v>18.09</v>
      </c>
      <c r="V52" s="77">
        <v>18.09</v>
      </c>
      <c r="W52" s="70">
        <v>1.07</v>
      </c>
      <c r="X52" s="77">
        <v>1.07</v>
      </c>
    </row>
    <row r="53" spans="1:29" s="7" customFormat="1" ht="27" customHeight="1">
      <c r="A53" s="116" t="s">
        <v>148</v>
      </c>
      <c r="B53" s="63" t="s">
        <v>149</v>
      </c>
      <c r="C53" s="64" t="s">
        <v>5</v>
      </c>
      <c r="D53" s="64" t="s">
        <v>5</v>
      </c>
      <c r="E53" s="60">
        <v>31.27</v>
      </c>
      <c r="F53" s="60">
        <v>31.27</v>
      </c>
      <c r="G53" s="28">
        <v>13.5</v>
      </c>
      <c r="H53" s="29">
        <v>13.5</v>
      </c>
      <c r="I53" s="28">
        <v>11.57</v>
      </c>
      <c r="J53" s="29">
        <v>11.57</v>
      </c>
      <c r="K53" s="28">
        <v>25.1</v>
      </c>
      <c r="L53" s="29">
        <v>25.1</v>
      </c>
      <c r="M53" s="28">
        <v>256.45</v>
      </c>
      <c r="N53" s="29">
        <v>256.45</v>
      </c>
      <c r="O53" s="29">
        <v>0.2</v>
      </c>
      <c r="P53" s="29">
        <v>0.15</v>
      </c>
      <c r="Q53" s="29">
        <v>0.18</v>
      </c>
      <c r="R53" s="29">
        <v>0.11</v>
      </c>
      <c r="S53" s="29">
        <v>38.1</v>
      </c>
      <c r="T53" s="29">
        <v>38.1</v>
      </c>
      <c r="U53" s="61">
        <v>62.67</v>
      </c>
      <c r="V53" s="61">
        <v>54.45</v>
      </c>
      <c r="W53" s="61">
        <v>0.52</v>
      </c>
      <c r="X53" s="61">
        <v>0.46</v>
      </c>
      <c r="Y53" s="139"/>
      <c r="Z53" s="75"/>
      <c r="AA53" s="75"/>
      <c r="AB53" s="75"/>
      <c r="AC53" s="75"/>
    </row>
    <row r="54" spans="1:31" ht="15" customHeight="1">
      <c r="A54" s="117" t="s">
        <v>150</v>
      </c>
      <c r="B54" s="105" t="s">
        <v>151</v>
      </c>
      <c r="C54" s="101">
        <v>200</v>
      </c>
      <c r="D54" s="101">
        <v>150</v>
      </c>
      <c r="E54" s="60">
        <v>4.36</v>
      </c>
      <c r="F54" s="60">
        <v>3.27</v>
      </c>
      <c r="G54" s="60">
        <v>0.6</v>
      </c>
      <c r="H54" s="61">
        <f>G54*150/200</f>
        <v>0.45</v>
      </c>
      <c r="I54" s="60">
        <v>0</v>
      </c>
      <c r="J54" s="61">
        <f>I54*150/200</f>
        <v>0</v>
      </c>
      <c r="K54" s="60">
        <v>31.4</v>
      </c>
      <c r="L54" s="61">
        <f>K54*150/200</f>
        <v>23.55</v>
      </c>
      <c r="M54" s="60">
        <v>124</v>
      </c>
      <c r="N54" s="61">
        <f>M54*150/200</f>
        <v>93</v>
      </c>
      <c r="O54" s="61">
        <v>0.02</v>
      </c>
      <c r="P54" s="61">
        <f>O54*150/200</f>
        <v>0.015</v>
      </c>
      <c r="Q54" s="61">
        <v>0.03</v>
      </c>
      <c r="R54" s="61">
        <f>Q54*150/200</f>
        <v>0.0225</v>
      </c>
      <c r="S54" s="61">
        <v>0.45</v>
      </c>
      <c r="T54" s="61">
        <f>S54*150/200</f>
        <v>0.3375</v>
      </c>
      <c r="U54" s="61">
        <v>12.3</v>
      </c>
      <c r="V54" s="61">
        <f>U54*150/200</f>
        <v>9.225</v>
      </c>
      <c r="W54" s="69">
        <v>2</v>
      </c>
      <c r="X54" s="80">
        <f>W54*150/200</f>
        <v>1.5</v>
      </c>
      <c r="Y54" s="52"/>
      <c r="Z54" s="52"/>
      <c r="AA54" s="52"/>
      <c r="AB54" s="52"/>
      <c r="AC54" s="52"/>
      <c r="AD54" s="52"/>
      <c r="AE54" s="52"/>
    </row>
    <row r="55" spans="1:31" s="16" customFormat="1" ht="15" customHeight="1">
      <c r="A55" s="115"/>
      <c r="B55" s="23" t="s">
        <v>11</v>
      </c>
      <c r="C55" s="43" t="s">
        <v>14</v>
      </c>
      <c r="D55" s="43" t="s">
        <v>14</v>
      </c>
      <c r="E55" s="28">
        <v>1.22</v>
      </c>
      <c r="F55" s="28">
        <v>1.22</v>
      </c>
      <c r="G55" s="28">
        <v>1.6</v>
      </c>
      <c r="H55" s="28">
        <v>1.6</v>
      </c>
      <c r="I55" s="28">
        <v>0.4</v>
      </c>
      <c r="J55" s="28">
        <v>0.4</v>
      </c>
      <c r="K55" s="28">
        <v>10</v>
      </c>
      <c r="L55" s="28">
        <v>10</v>
      </c>
      <c r="M55" s="29">
        <v>54</v>
      </c>
      <c r="N55" s="29">
        <v>54</v>
      </c>
      <c r="O55" s="42">
        <v>0.04</v>
      </c>
      <c r="P55" s="46">
        <v>0.04</v>
      </c>
      <c r="Q55" s="42">
        <v>0.02</v>
      </c>
      <c r="R55" s="46">
        <v>0.02</v>
      </c>
      <c r="S55" s="42">
        <v>0</v>
      </c>
      <c r="T55" s="46">
        <v>0</v>
      </c>
      <c r="U55" s="42">
        <v>7.4</v>
      </c>
      <c r="V55" s="46">
        <v>7.4</v>
      </c>
      <c r="W55" s="42">
        <v>0.56</v>
      </c>
      <c r="X55" s="46">
        <v>0.56</v>
      </c>
      <c r="Y55" s="55"/>
      <c r="Z55" s="55"/>
      <c r="AA55" s="55"/>
      <c r="AB55" s="55"/>
      <c r="AC55" s="55"/>
      <c r="AD55" s="55"/>
      <c r="AE55" s="55"/>
    </row>
    <row r="56" spans="1:31" ht="15" customHeight="1">
      <c r="A56" s="115"/>
      <c r="B56" s="23" t="s">
        <v>45</v>
      </c>
      <c r="C56" s="43" t="s">
        <v>68</v>
      </c>
      <c r="D56" s="43" t="s">
        <v>69</v>
      </c>
      <c r="E56" s="28">
        <v>2.3</v>
      </c>
      <c r="F56" s="28">
        <v>2.01</v>
      </c>
      <c r="G56" s="28">
        <v>3.25</v>
      </c>
      <c r="H56" s="29">
        <v>2.84</v>
      </c>
      <c r="I56" s="29">
        <v>0.46</v>
      </c>
      <c r="J56" s="29">
        <f>I56*40.6/46</f>
        <v>0.406</v>
      </c>
      <c r="K56" s="29">
        <v>20.88</v>
      </c>
      <c r="L56" s="29">
        <v>18.27</v>
      </c>
      <c r="M56" s="29">
        <v>102.08</v>
      </c>
      <c r="N56" s="29">
        <v>89.32</v>
      </c>
      <c r="O56" s="40">
        <v>0.06</v>
      </c>
      <c r="P56" s="44">
        <v>0.04</v>
      </c>
      <c r="Q56" s="40">
        <v>0.04</v>
      </c>
      <c r="R56" s="44">
        <v>0.03</v>
      </c>
      <c r="S56" s="40">
        <v>0</v>
      </c>
      <c r="T56" s="29">
        <f>S56*40.6/46</f>
        <v>0</v>
      </c>
      <c r="U56" s="42">
        <v>17</v>
      </c>
      <c r="V56" s="46">
        <v>13.6</v>
      </c>
      <c r="W56" s="42">
        <v>1.15</v>
      </c>
      <c r="X56" s="46">
        <v>0.92</v>
      </c>
      <c r="Y56" s="52"/>
      <c r="Z56" s="52"/>
      <c r="AA56" s="52"/>
      <c r="AB56" s="52"/>
      <c r="AC56" s="52"/>
      <c r="AD56" s="52"/>
      <c r="AE56" s="52"/>
    </row>
    <row r="57" spans="1:31" ht="15" customHeight="1">
      <c r="A57" s="22"/>
      <c r="B57" s="23" t="s">
        <v>7</v>
      </c>
      <c r="C57" s="43"/>
      <c r="D57" s="43"/>
      <c r="E57" s="17">
        <f>SUM(E51:E56)</f>
        <v>54.839999999999996</v>
      </c>
      <c r="F57" s="17">
        <f aca="true" t="shared" si="9" ref="F57:L57">SUM(F51:F56)</f>
        <v>51.47</v>
      </c>
      <c r="G57" s="17">
        <f t="shared" si="9"/>
        <v>26.17</v>
      </c>
      <c r="H57" s="17">
        <f t="shared" si="9"/>
        <v>23.375</v>
      </c>
      <c r="I57" s="17">
        <f>SUM(I51:I56)-6</f>
        <v>17.189999999999998</v>
      </c>
      <c r="J57" s="17">
        <f>SUM(J51:J56)-6</f>
        <v>12.833499999999997</v>
      </c>
      <c r="K57" s="17">
        <f t="shared" si="9"/>
        <v>111.29999999999998</v>
      </c>
      <c r="L57" s="17">
        <f t="shared" si="9"/>
        <v>97.5175</v>
      </c>
      <c r="M57" s="17">
        <f aca="true" t="shared" si="10" ref="M57:R57">SUM(M51:M56)-200</f>
        <v>513.3000000000001</v>
      </c>
      <c r="N57" s="17">
        <f t="shared" si="10"/>
        <v>435.75749999999994</v>
      </c>
      <c r="O57" s="17">
        <f t="shared" si="10"/>
        <v>-199.54</v>
      </c>
      <c r="P57" s="17">
        <f t="shared" si="10"/>
        <v>-199.645</v>
      </c>
      <c r="Q57" s="17">
        <f t="shared" si="10"/>
        <v>-199.62</v>
      </c>
      <c r="R57" s="17">
        <f t="shared" si="10"/>
        <v>-199.7075</v>
      </c>
      <c r="S57" s="17">
        <f>SUM(S51:S56)+25</f>
        <v>85.19</v>
      </c>
      <c r="T57" s="17">
        <f>SUM(T51:T56)+15</f>
        <v>72.3625</v>
      </c>
      <c r="U57" s="17">
        <f aca="true" t="shared" si="11" ref="U57:AB57">SUM(U51:U56)</f>
        <v>154.782</v>
      </c>
      <c r="V57" s="17">
        <f t="shared" si="11"/>
        <v>130.75650000000002</v>
      </c>
      <c r="W57" s="17">
        <f t="shared" si="11"/>
        <v>6.260000000000002</v>
      </c>
      <c r="X57" s="17">
        <f t="shared" si="11"/>
        <v>5.23</v>
      </c>
      <c r="Y57" s="17">
        <f t="shared" si="11"/>
        <v>0</v>
      </c>
      <c r="Z57" s="17">
        <f t="shared" si="11"/>
        <v>0</v>
      </c>
      <c r="AA57" s="17">
        <f t="shared" si="11"/>
        <v>0</v>
      </c>
      <c r="AB57" s="17">
        <f t="shared" si="11"/>
        <v>0</v>
      </c>
      <c r="AC57" s="57"/>
      <c r="AD57" s="52"/>
      <c r="AE57" s="52"/>
    </row>
    <row r="58" spans="1:31" ht="15" customHeight="1">
      <c r="A58" s="22"/>
      <c r="B58" s="88" t="s">
        <v>17</v>
      </c>
      <c r="C58" s="43"/>
      <c r="D58" s="43"/>
      <c r="E58" s="28"/>
      <c r="F58" s="28"/>
      <c r="G58" s="28"/>
      <c r="H58" s="29"/>
      <c r="I58" s="29"/>
      <c r="J58" s="29"/>
      <c r="K58" s="29"/>
      <c r="L58" s="29"/>
      <c r="M58" s="29"/>
      <c r="N58" s="29"/>
      <c r="O58" s="41"/>
      <c r="P58" s="41"/>
      <c r="Q58" s="41"/>
      <c r="R58" s="41"/>
      <c r="S58" s="41"/>
      <c r="T58" s="41"/>
      <c r="U58" s="41"/>
      <c r="V58" s="41"/>
      <c r="W58" s="41"/>
      <c r="X58" s="74"/>
      <c r="Y58" s="53"/>
      <c r="Z58" s="52"/>
      <c r="AA58" s="52"/>
      <c r="AB58" s="52"/>
      <c r="AC58" s="52"/>
      <c r="AD58" s="52"/>
      <c r="AE58" s="52"/>
    </row>
    <row r="59" spans="1:31" ht="15" customHeight="1">
      <c r="A59" s="115" t="s">
        <v>21</v>
      </c>
      <c r="B59" s="23" t="s">
        <v>18</v>
      </c>
      <c r="C59" s="43" t="s">
        <v>29</v>
      </c>
      <c r="D59" s="43" t="s">
        <v>29</v>
      </c>
      <c r="E59" s="28">
        <v>10.36</v>
      </c>
      <c r="F59" s="28">
        <v>10.36</v>
      </c>
      <c r="G59" s="28">
        <f>H59*180/180</f>
        <v>5.31</v>
      </c>
      <c r="H59" s="29">
        <v>5.31</v>
      </c>
      <c r="I59" s="28">
        <f>J59*180/180</f>
        <v>4.5</v>
      </c>
      <c r="J59" s="29">
        <v>4.5</v>
      </c>
      <c r="K59" s="28">
        <f>L59*180/180</f>
        <v>8.91</v>
      </c>
      <c r="L59" s="29">
        <v>8.91</v>
      </c>
      <c r="M59" s="28">
        <f>N59*180/180</f>
        <v>97.37999999999998</v>
      </c>
      <c r="N59" s="29">
        <v>97.38</v>
      </c>
      <c r="O59" s="28">
        <v>0.07</v>
      </c>
      <c r="P59" s="29">
        <v>0.07</v>
      </c>
      <c r="Q59" s="28">
        <v>0.3</v>
      </c>
      <c r="R59" s="29">
        <v>0.3</v>
      </c>
      <c r="S59" s="28">
        <f>T59*180/180</f>
        <v>2.46</v>
      </c>
      <c r="T59" s="29">
        <v>2.46</v>
      </c>
      <c r="U59" s="28">
        <v>275.74</v>
      </c>
      <c r="V59" s="29">
        <v>275.74</v>
      </c>
      <c r="W59" s="28">
        <v>0.23</v>
      </c>
      <c r="X59" s="29">
        <v>0.23</v>
      </c>
      <c r="Y59" s="56"/>
      <c r="Z59" s="56"/>
      <c r="AA59" s="56"/>
      <c r="AB59" s="56"/>
      <c r="AC59" s="56"/>
      <c r="AD59" s="56"/>
      <c r="AE59" s="52"/>
    </row>
    <row r="60" spans="1:31" ht="15" customHeight="1">
      <c r="A60" s="22"/>
      <c r="B60" s="23" t="s">
        <v>7</v>
      </c>
      <c r="C60" s="43"/>
      <c r="D60" s="43"/>
      <c r="E60" s="17">
        <f>SUM(E59)</f>
        <v>10.36</v>
      </c>
      <c r="F60" s="17">
        <f aca="true" t="shared" si="12" ref="F60:T60">SUM(F59)</f>
        <v>10.36</v>
      </c>
      <c r="G60" s="17">
        <f t="shared" si="12"/>
        <v>5.31</v>
      </c>
      <c r="H60" s="17">
        <f t="shared" si="12"/>
        <v>5.31</v>
      </c>
      <c r="I60" s="17">
        <f t="shared" si="12"/>
        <v>4.5</v>
      </c>
      <c r="J60" s="17">
        <f t="shared" si="12"/>
        <v>4.5</v>
      </c>
      <c r="K60" s="17">
        <f t="shared" si="12"/>
        <v>8.91</v>
      </c>
      <c r="L60" s="17">
        <f t="shared" si="12"/>
        <v>8.91</v>
      </c>
      <c r="M60" s="17">
        <f t="shared" si="12"/>
        <v>97.37999999999998</v>
      </c>
      <c r="N60" s="17">
        <f t="shared" si="12"/>
        <v>97.38</v>
      </c>
      <c r="O60" s="17">
        <f t="shared" si="12"/>
        <v>0.07</v>
      </c>
      <c r="P60" s="17">
        <f t="shared" si="12"/>
        <v>0.07</v>
      </c>
      <c r="Q60" s="17">
        <f t="shared" si="12"/>
        <v>0.3</v>
      </c>
      <c r="R60" s="17">
        <f t="shared" si="12"/>
        <v>0.3</v>
      </c>
      <c r="S60" s="17">
        <f t="shared" si="12"/>
        <v>2.46</v>
      </c>
      <c r="T60" s="17">
        <f t="shared" si="12"/>
        <v>2.46</v>
      </c>
      <c r="U60" s="17">
        <f>SUM(U59)</f>
        <v>275.74</v>
      </c>
      <c r="V60" s="17">
        <f>SUM(V59)</f>
        <v>275.74</v>
      </c>
      <c r="W60" s="17">
        <f>SUM(W59)</f>
        <v>0.23</v>
      </c>
      <c r="X60" s="17">
        <f>SUM(X59)</f>
        <v>0.23</v>
      </c>
      <c r="Y60" s="71">
        <f>SUM(Y59)</f>
        <v>0</v>
      </c>
      <c r="Z60" s="57"/>
      <c r="AA60" s="57"/>
      <c r="AB60" s="57"/>
      <c r="AC60" s="57"/>
      <c r="AD60" s="52"/>
      <c r="AE60" s="52"/>
    </row>
    <row r="61" spans="1:31" ht="15" customHeight="1">
      <c r="A61" s="22"/>
      <c r="B61" s="88" t="s">
        <v>13</v>
      </c>
      <c r="C61" s="43"/>
      <c r="D61" s="43"/>
      <c r="E61" s="28"/>
      <c r="F61" s="28"/>
      <c r="G61" s="28"/>
      <c r="H61" s="29"/>
      <c r="I61" s="29"/>
      <c r="J61" s="29"/>
      <c r="K61" s="29"/>
      <c r="L61" s="29"/>
      <c r="M61" s="29"/>
      <c r="N61" s="29"/>
      <c r="O61" s="41"/>
      <c r="P61" s="41"/>
      <c r="Q61" s="41"/>
      <c r="R61" s="41"/>
      <c r="S61" s="41"/>
      <c r="T61" s="41"/>
      <c r="U61" s="41"/>
      <c r="V61" s="41"/>
      <c r="W61" s="41"/>
      <c r="X61" s="74"/>
      <c r="Y61" s="53"/>
      <c r="Z61" s="52"/>
      <c r="AA61" s="52"/>
      <c r="AB61" s="52"/>
      <c r="AC61" s="52"/>
      <c r="AD61" s="52"/>
      <c r="AE61" s="52"/>
    </row>
    <row r="62" spans="1:24" s="1" customFormat="1" ht="26.25" customHeight="1">
      <c r="A62" s="116" t="s">
        <v>152</v>
      </c>
      <c r="B62" s="63" t="s">
        <v>153</v>
      </c>
      <c r="C62" s="64" t="s">
        <v>154</v>
      </c>
      <c r="D62" s="64" t="s">
        <v>155</v>
      </c>
      <c r="E62" s="60">
        <v>45.36</v>
      </c>
      <c r="F62" s="60">
        <v>34.38</v>
      </c>
      <c r="G62" s="60">
        <v>27.33</v>
      </c>
      <c r="H62" s="61">
        <v>20.33</v>
      </c>
      <c r="I62" s="61">
        <v>13.87</v>
      </c>
      <c r="J62" s="61">
        <v>11.37</v>
      </c>
      <c r="K62" s="61">
        <v>48.79</v>
      </c>
      <c r="L62" s="61">
        <v>36.29</v>
      </c>
      <c r="M62" s="61">
        <v>429.31</v>
      </c>
      <c r="N62" s="61">
        <v>328.81</v>
      </c>
      <c r="O62" s="124">
        <v>0.14</v>
      </c>
      <c r="P62" s="124">
        <v>0.11</v>
      </c>
      <c r="Q62" s="61">
        <v>0.1</v>
      </c>
      <c r="R62" s="124">
        <v>0.07</v>
      </c>
      <c r="S62" s="124">
        <v>0.57</v>
      </c>
      <c r="T62" s="124">
        <v>0.42</v>
      </c>
      <c r="U62" s="61">
        <v>170.14</v>
      </c>
      <c r="V62" s="61">
        <v>160.13</v>
      </c>
      <c r="W62" s="124">
        <v>0.72</v>
      </c>
      <c r="X62" s="124">
        <v>0.56</v>
      </c>
    </row>
    <row r="63" spans="1:31" ht="15" customHeight="1">
      <c r="A63" s="116" t="s">
        <v>75</v>
      </c>
      <c r="B63" s="66" t="s">
        <v>76</v>
      </c>
      <c r="C63" s="64" t="s">
        <v>5</v>
      </c>
      <c r="D63" s="64" t="s">
        <v>6</v>
      </c>
      <c r="E63" s="60">
        <v>0.58</v>
      </c>
      <c r="F63" s="60">
        <v>0.43</v>
      </c>
      <c r="G63" s="60">
        <v>0.18</v>
      </c>
      <c r="H63" s="61">
        <v>0.13</v>
      </c>
      <c r="I63" s="60">
        <f>J63*200/150</f>
        <v>0</v>
      </c>
      <c r="J63" s="61">
        <v>0</v>
      </c>
      <c r="K63" s="60">
        <v>4.78</v>
      </c>
      <c r="L63" s="61">
        <v>3.58</v>
      </c>
      <c r="M63" s="60">
        <v>19.9</v>
      </c>
      <c r="N63" s="61">
        <v>14.92</v>
      </c>
      <c r="O63" s="60">
        <f>P63*200/150</f>
        <v>0.013333333333333334</v>
      </c>
      <c r="P63" s="68">
        <v>0.01</v>
      </c>
      <c r="Q63" s="60">
        <f>R63*200/150</f>
        <v>0.013333333333333334</v>
      </c>
      <c r="R63" s="68">
        <v>0.01</v>
      </c>
      <c r="S63" s="60">
        <v>0.04</v>
      </c>
      <c r="T63" s="68">
        <v>0.03</v>
      </c>
      <c r="U63" s="60">
        <f>V63*200/150</f>
        <v>5.053333333333334</v>
      </c>
      <c r="V63" s="68">
        <v>3.79</v>
      </c>
      <c r="W63" s="60">
        <f>X63*200/150</f>
        <v>0.84</v>
      </c>
      <c r="X63" s="109">
        <v>0.63</v>
      </c>
      <c r="Y63" s="52"/>
      <c r="Z63" s="52"/>
      <c r="AA63" s="52"/>
      <c r="AB63" s="52"/>
      <c r="AC63" s="52"/>
      <c r="AD63" s="52"/>
      <c r="AE63" s="52"/>
    </row>
    <row r="64" spans="1:31" s="16" customFormat="1" ht="15" customHeight="1">
      <c r="A64" s="115"/>
      <c r="B64" s="23" t="s">
        <v>11</v>
      </c>
      <c r="C64" s="43" t="s">
        <v>14</v>
      </c>
      <c r="D64" s="43" t="s">
        <v>14</v>
      </c>
      <c r="E64" s="28">
        <v>1.22</v>
      </c>
      <c r="F64" s="28">
        <v>1.22</v>
      </c>
      <c r="G64" s="28">
        <v>1.6</v>
      </c>
      <c r="H64" s="28">
        <v>1.6</v>
      </c>
      <c r="I64" s="28">
        <v>0.4</v>
      </c>
      <c r="J64" s="28">
        <v>0.4</v>
      </c>
      <c r="K64" s="28">
        <v>10</v>
      </c>
      <c r="L64" s="28">
        <v>10</v>
      </c>
      <c r="M64" s="29">
        <v>54</v>
      </c>
      <c r="N64" s="29">
        <v>54</v>
      </c>
      <c r="O64" s="42">
        <v>0.04</v>
      </c>
      <c r="P64" s="46">
        <v>0.04</v>
      </c>
      <c r="Q64" s="42">
        <v>0.02</v>
      </c>
      <c r="R64" s="46">
        <v>0.02</v>
      </c>
      <c r="S64" s="42">
        <v>0</v>
      </c>
      <c r="T64" s="46">
        <v>0</v>
      </c>
      <c r="U64" s="42">
        <v>7.4</v>
      </c>
      <c r="V64" s="46">
        <v>7.4</v>
      </c>
      <c r="W64" s="42">
        <v>0.56</v>
      </c>
      <c r="X64" s="46">
        <v>0.56</v>
      </c>
      <c r="Y64" s="55"/>
      <c r="Z64" s="55"/>
      <c r="AA64" s="55"/>
      <c r="AB64" s="55"/>
      <c r="AC64" s="55"/>
      <c r="AD64" s="55"/>
      <c r="AE64" s="55"/>
    </row>
    <row r="65" spans="1:31" ht="15" customHeight="1">
      <c r="A65" s="22"/>
      <c r="B65" s="23" t="s">
        <v>7</v>
      </c>
      <c r="C65" s="43"/>
      <c r="D65" s="43"/>
      <c r="E65" s="17">
        <f>SUM(E62:E64)</f>
        <v>47.16</v>
      </c>
      <c r="F65" s="17">
        <f aca="true" t="shared" si="13" ref="F65:T65">SUM(F62:F64)</f>
        <v>36.03</v>
      </c>
      <c r="G65" s="17">
        <f t="shared" si="13"/>
        <v>29.11</v>
      </c>
      <c r="H65" s="17">
        <f t="shared" si="13"/>
        <v>22.06</v>
      </c>
      <c r="I65" s="17">
        <f t="shared" si="13"/>
        <v>14.27</v>
      </c>
      <c r="J65" s="17">
        <f t="shared" si="13"/>
        <v>11.77</v>
      </c>
      <c r="K65" s="17">
        <f t="shared" si="13"/>
        <v>63.57</v>
      </c>
      <c r="L65" s="17">
        <f t="shared" si="13"/>
        <v>49.87</v>
      </c>
      <c r="M65" s="17">
        <f t="shared" si="13"/>
        <v>503.21</v>
      </c>
      <c r="N65" s="17">
        <f t="shared" si="13"/>
        <v>397.73</v>
      </c>
      <c r="O65" s="17">
        <f t="shared" si="13"/>
        <v>0.19333333333333336</v>
      </c>
      <c r="P65" s="17">
        <f t="shared" si="13"/>
        <v>0.16</v>
      </c>
      <c r="Q65" s="17">
        <f t="shared" si="13"/>
        <v>0.13333333333333333</v>
      </c>
      <c r="R65" s="17">
        <f t="shared" si="13"/>
        <v>0.1</v>
      </c>
      <c r="S65" s="17">
        <f t="shared" si="13"/>
        <v>0.61</v>
      </c>
      <c r="T65" s="17">
        <f t="shared" si="13"/>
        <v>0.44999999999999996</v>
      </c>
      <c r="U65" s="17">
        <f aca="true" t="shared" si="14" ref="U65:AB65">SUM(U62:U64)</f>
        <v>182.59333333333333</v>
      </c>
      <c r="V65" s="17">
        <f t="shared" si="14"/>
        <v>171.32</v>
      </c>
      <c r="W65" s="17">
        <f t="shared" si="14"/>
        <v>2.12</v>
      </c>
      <c r="X65" s="17">
        <f t="shared" si="14"/>
        <v>1.75</v>
      </c>
      <c r="Y65" s="17">
        <f t="shared" si="14"/>
        <v>0</v>
      </c>
      <c r="Z65" s="17">
        <f t="shared" si="14"/>
        <v>0</v>
      </c>
      <c r="AA65" s="17">
        <f t="shared" si="14"/>
        <v>0</v>
      </c>
      <c r="AB65" s="17">
        <f t="shared" si="14"/>
        <v>0</v>
      </c>
      <c r="AC65" s="57"/>
      <c r="AD65" s="52"/>
      <c r="AE65" s="52"/>
    </row>
    <row r="66" spans="1:31" ht="15" customHeight="1">
      <c r="A66" s="22"/>
      <c r="B66" s="23" t="s">
        <v>15</v>
      </c>
      <c r="C66" s="43"/>
      <c r="D66" s="43"/>
      <c r="E66" s="17">
        <f>SUM(E65,E60,E57,E49,E46)</f>
        <v>135.89</v>
      </c>
      <c r="F66" s="17">
        <f aca="true" t="shared" si="15" ref="F66:T66">SUM(F65,F60,F57,F49,F46)</f>
        <v>118.66</v>
      </c>
      <c r="G66" s="17">
        <f t="shared" si="15"/>
        <v>69.64</v>
      </c>
      <c r="H66" s="17">
        <f t="shared" si="15"/>
        <v>58.184999999999995</v>
      </c>
      <c r="I66" s="17">
        <f t="shared" si="15"/>
        <v>51.029999999999994</v>
      </c>
      <c r="J66" s="17">
        <f t="shared" si="15"/>
        <v>41.8535</v>
      </c>
      <c r="K66" s="17">
        <f t="shared" si="15"/>
        <v>242.57999999999996</v>
      </c>
      <c r="L66" s="17">
        <f t="shared" si="15"/>
        <v>207.41750000000002</v>
      </c>
      <c r="M66" s="17">
        <f t="shared" si="15"/>
        <v>1500.6099999999997</v>
      </c>
      <c r="N66" s="17">
        <f t="shared" si="15"/>
        <v>1264.7075</v>
      </c>
      <c r="O66" s="17">
        <f t="shared" si="15"/>
        <v>-199.08266666666668</v>
      </c>
      <c r="P66" s="17">
        <f t="shared" si="15"/>
        <v>-199.27750000000003</v>
      </c>
      <c r="Q66" s="17">
        <f t="shared" si="15"/>
        <v>-198.86266666666666</v>
      </c>
      <c r="R66" s="17">
        <f t="shared" si="15"/>
        <v>-199.0625</v>
      </c>
      <c r="S66" s="17">
        <f t="shared" si="15"/>
        <v>94.09</v>
      </c>
      <c r="T66" s="17">
        <f t="shared" si="15"/>
        <v>80.6225</v>
      </c>
      <c r="U66" s="17" t="e">
        <f>U65+U60+U57+U49+U46</f>
        <v>#REF!</v>
      </c>
      <c r="V66" s="17" t="e">
        <f>V65+V60+V57+V49+V46</f>
        <v>#REF!</v>
      </c>
      <c r="W66" s="17" t="e">
        <f>W65+W60+W57+W49+W46</f>
        <v>#REF!</v>
      </c>
      <c r="X66" s="17" t="e">
        <f>X65+X60+X57+X49+X46</f>
        <v>#REF!</v>
      </c>
      <c r="Y66" s="71" t="e">
        <f>Y65+Y60+Y57+Y49+Y46</f>
        <v>#REF!</v>
      </c>
      <c r="Z66" s="57"/>
      <c r="AA66" s="57"/>
      <c r="AB66" s="57"/>
      <c r="AC66" s="57"/>
      <c r="AD66" s="52"/>
      <c r="AE66" s="52"/>
    </row>
    <row r="67" spans="1:31" ht="15" customHeight="1">
      <c r="A67" s="22"/>
      <c r="B67" s="123" t="s">
        <v>139</v>
      </c>
      <c r="C67" s="43"/>
      <c r="D67" s="43"/>
      <c r="E67" s="17"/>
      <c r="F67" s="28"/>
      <c r="G67" s="28"/>
      <c r="H67" s="29"/>
      <c r="I67" s="29"/>
      <c r="J67" s="29"/>
      <c r="K67" s="29"/>
      <c r="L67" s="29"/>
      <c r="M67" s="29"/>
      <c r="N67" s="29"/>
      <c r="O67" s="41"/>
      <c r="P67" s="41"/>
      <c r="Q67" s="41"/>
      <c r="R67" s="41"/>
      <c r="S67" s="41"/>
      <c r="T67" s="41"/>
      <c r="U67" s="41"/>
      <c r="V67" s="41"/>
      <c r="W67" s="41"/>
      <c r="X67" s="74"/>
      <c r="Y67" s="53"/>
      <c r="Z67" s="52"/>
      <c r="AA67" s="52"/>
      <c r="AB67" s="52"/>
      <c r="AC67" s="52"/>
      <c r="AD67" s="52"/>
      <c r="AE67" s="52"/>
    </row>
    <row r="68" spans="1:31" ht="15" customHeight="1">
      <c r="A68" s="22"/>
      <c r="B68" s="88" t="s">
        <v>4</v>
      </c>
      <c r="C68" s="43"/>
      <c r="D68" s="43"/>
      <c r="E68" s="28"/>
      <c r="F68" s="28"/>
      <c r="G68" s="28"/>
      <c r="H68" s="29"/>
      <c r="I68" s="29"/>
      <c r="J68" s="29"/>
      <c r="K68" s="29"/>
      <c r="L68" s="29"/>
      <c r="M68" s="29"/>
      <c r="N68" s="29"/>
      <c r="O68" s="41"/>
      <c r="P68" s="41"/>
      <c r="Q68" s="41"/>
      <c r="R68" s="41"/>
      <c r="S68" s="41"/>
      <c r="T68" s="41"/>
      <c r="U68" s="41"/>
      <c r="V68" s="41"/>
      <c r="W68" s="41"/>
      <c r="X68" s="74"/>
      <c r="Y68" s="53"/>
      <c r="Z68" s="52"/>
      <c r="AA68" s="52"/>
      <c r="AB68" s="52"/>
      <c r="AC68" s="52"/>
      <c r="AD68" s="52"/>
      <c r="AE68" s="52"/>
    </row>
    <row r="69" spans="1:30" s="1" customFormat="1" ht="14.25" customHeight="1">
      <c r="A69" s="115" t="s">
        <v>56</v>
      </c>
      <c r="B69" s="23" t="s">
        <v>117</v>
      </c>
      <c r="C69" s="43" t="s">
        <v>118</v>
      </c>
      <c r="D69" s="43" t="s">
        <v>118</v>
      </c>
      <c r="E69" s="28">
        <v>7.11</v>
      </c>
      <c r="F69" s="28">
        <v>7.11</v>
      </c>
      <c r="G69" s="28">
        <v>2.93</v>
      </c>
      <c r="H69" s="29">
        <v>2.93</v>
      </c>
      <c r="I69" s="28">
        <v>6.05</v>
      </c>
      <c r="J69" s="29">
        <v>6.05</v>
      </c>
      <c r="K69" s="28">
        <v>10.4</v>
      </c>
      <c r="L69" s="29">
        <v>10.4</v>
      </c>
      <c r="M69" s="28">
        <v>107.77</v>
      </c>
      <c r="N69" s="29">
        <v>107.77</v>
      </c>
      <c r="O69" s="29">
        <v>0.08</v>
      </c>
      <c r="P69" s="29">
        <f>O69*40/60</f>
        <v>0.05333333333333334</v>
      </c>
      <c r="Q69" s="29">
        <v>0.06</v>
      </c>
      <c r="R69" s="29">
        <f>Q69*40/60</f>
        <v>0.04</v>
      </c>
      <c r="S69" s="28">
        <v>0.14</v>
      </c>
      <c r="T69" s="29">
        <v>0.14</v>
      </c>
      <c r="U69" s="29">
        <v>70.8</v>
      </c>
      <c r="V69" s="29">
        <f>U69*40/60</f>
        <v>47.2</v>
      </c>
      <c r="W69" s="29">
        <v>0.81</v>
      </c>
      <c r="X69" s="73">
        <f>W69*40/60</f>
        <v>0.5400000000000001</v>
      </c>
      <c r="Y69" s="58"/>
      <c r="Z69" s="56"/>
      <c r="AA69" s="56"/>
      <c r="AB69" s="56"/>
      <c r="AC69" s="56"/>
      <c r="AD69" s="56"/>
    </row>
    <row r="70" spans="1:29" ht="25.5">
      <c r="A70" s="115" t="s">
        <v>26</v>
      </c>
      <c r="B70" s="23" t="s">
        <v>119</v>
      </c>
      <c r="C70" s="43" t="s">
        <v>5</v>
      </c>
      <c r="D70" s="43" t="s">
        <v>6</v>
      </c>
      <c r="E70" s="28">
        <v>5.2</v>
      </c>
      <c r="F70" s="28">
        <v>3.9</v>
      </c>
      <c r="G70" s="28">
        <v>5.26</v>
      </c>
      <c r="H70" s="28">
        <v>3.95</v>
      </c>
      <c r="I70" s="28">
        <v>5.26</v>
      </c>
      <c r="J70" s="29">
        <v>3.95</v>
      </c>
      <c r="K70" s="28">
        <v>38.31</v>
      </c>
      <c r="L70" s="29">
        <v>28.73</v>
      </c>
      <c r="M70" s="28">
        <v>221.55</v>
      </c>
      <c r="N70" s="29">
        <v>166.16</v>
      </c>
      <c r="O70" s="28">
        <f>P70*200/150</f>
        <v>0.12</v>
      </c>
      <c r="P70" s="40">
        <v>0.09</v>
      </c>
      <c r="Q70" s="28">
        <f>R70*200/150</f>
        <v>0.04</v>
      </c>
      <c r="R70" s="40">
        <v>0.03</v>
      </c>
      <c r="S70" s="40">
        <v>0</v>
      </c>
      <c r="T70" s="40">
        <v>0</v>
      </c>
      <c r="U70" s="28">
        <f>V70*200/150</f>
        <v>1.5466666666666664</v>
      </c>
      <c r="V70" s="40">
        <v>1.16</v>
      </c>
      <c r="W70" s="28">
        <f>X70*200/150</f>
        <v>0.72</v>
      </c>
      <c r="X70" s="131">
        <v>0.54</v>
      </c>
      <c r="Y70" s="53"/>
      <c r="Z70" s="52"/>
      <c r="AA70" s="52"/>
      <c r="AB70" s="53"/>
      <c r="AC70" s="52"/>
    </row>
    <row r="71" spans="1:31" ht="15.75" customHeight="1">
      <c r="A71" s="115" t="s">
        <v>48</v>
      </c>
      <c r="B71" s="23" t="s">
        <v>51</v>
      </c>
      <c r="C71" s="43" t="s">
        <v>29</v>
      </c>
      <c r="D71" s="43" t="s">
        <v>6</v>
      </c>
      <c r="E71" s="28">
        <v>6.07</v>
      </c>
      <c r="F71" s="28">
        <v>4.88</v>
      </c>
      <c r="G71" s="28">
        <v>2.85</v>
      </c>
      <c r="H71" s="29">
        <v>2.34</v>
      </c>
      <c r="I71" s="28">
        <v>2.41</v>
      </c>
      <c r="J71" s="29">
        <v>2</v>
      </c>
      <c r="K71" s="28">
        <v>14.36</v>
      </c>
      <c r="L71" s="29">
        <v>10.63</v>
      </c>
      <c r="M71" s="28">
        <v>91</v>
      </c>
      <c r="N71" s="29">
        <v>70</v>
      </c>
      <c r="O71" s="28">
        <f>P71*180/150</f>
        <v>0.012</v>
      </c>
      <c r="P71" s="44">
        <v>0.01</v>
      </c>
      <c r="Q71" s="28">
        <f>R71*180/150</f>
        <v>0.084</v>
      </c>
      <c r="R71" s="44">
        <v>0.07</v>
      </c>
      <c r="S71" s="28">
        <v>1.17</v>
      </c>
      <c r="T71" s="29">
        <f>S71*150/180</f>
        <v>0.975</v>
      </c>
      <c r="U71" s="28">
        <f>V71*180/150</f>
        <v>57.516</v>
      </c>
      <c r="V71" s="44">
        <v>47.93</v>
      </c>
      <c r="W71" s="28">
        <f>X71*180/150</f>
        <v>0.264</v>
      </c>
      <c r="X71" s="44">
        <v>0.22</v>
      </c>
      <c r="Y71" s="52"/>
      <c r="Z71" s="52"/>
      <c r="AA71" s="52"/>
      <c r="AB71" s="52"/>
      <c r="AC71" s="52"/>
      <c r="AD71" s="52"/>
      <c r="AE71" s="52"/>
    </row>
    <row r="72" spans="1:31" ht="15" customHeight="1">
      <c r="A72" s="22"/>
      <c r="B72" s="23" t="s">
        <v>7</v>
      </c>
      <c r="C72" s="43"/>
      <c r="D72" s="43"/>
      <c r="E72" s="17">
        <f>SUM(E69:E71)</f>
        <v>18.380000000000003</v>
      </c>
      <c r="F72" s="17">
        <f>SUM(F69:F71)</f>
        <v>15.89</v>
      </c>
      <c r="G72" s="17">
        <f aca="true" t="shared" si="16" ref="G72:T72">SUM(G69:G71)</f>
        <v>11.04</v>
      </c>
      <c r="H72" s="17">
        <f t="shared" si="16"/>
        <v>9.22</v>
      </c>
      <c r="I72" s="17">
        <f t="shared" si="16"/>
        <v>13.719999999999999</v>
      </c>
      <c r="J72" s="17">
        <f t="shared" si="16"/>
        <v>12</v>
      </c>
      <c r="K72" s="17">
        <f t="shared" si="16"/>
        <v>63.07</v>
      </c>
      <c r="L72" s="17">
        <f t="shared" si="16"/>
        <v>49.760000000000005</v>
      </c>
      <c r="M72" s="17">
        <f t="shared" si="16"/>
        <v>420.32</v>
      </c>
      <c r="N72" s="17">
        <f t="shared" si="16"/>
        <v>343.93</v>
      </c>
      <c r="O72" s="17">
        <f t="shared" si="16"/>
        <v>0.21200000000000002</v>
      </c>
      <c r="P72" s="17">
        <f t="shared" si="16"/>
        <v>0.15333333333333335</v>
      </c>
      <c r="Q72" s="17">
        <f t="shared" si="16"/>
        <v>0.184</v>
      </c>
      <c r="R72" s="17">
        <f t="shared" si="16"/>
        <v>0.14</v>
      </c>
      <c r="S72" s="17">
        <f t="shared" si="16"/>
        <v>1.31</v>
      </c>
      <c r="T72" s="17">
        <f t="shared" si="16"/>
        <v>1.115</v>
      </c>
      <c r="U72" s="17">
        <f aca="true" t="shared" si="17" ref="U72:AB72">SUM(U69:U71)</f>
        <v>129.86266666666666</v>
      </c>
      <c r="V72" s="17">
        <f t="shared" si="17"/>
        <v>96.28999999999999</v>
      </c>
      <c r="W72" s="17">
        <f t="shared" si="17"/>
        <v>1.794</v>
      </c>
      <c r="X72" s="17">
        <f t="shared" si="17"/>
        <v>1.3</v>
      </c>
      <c r="Y72" s="17">
        <f t="shared" si="17"/>
        <v>0</v>
      </c>
      <c r="Z72" s="17">
        <f t="shared" si="17"/>
        <v>0</v>
      </c>
      <c r="AA72" s="17">
        <f t="shared" si="17"/>
        <v>0</v>
      </c>
      <c r="AB72" s="17">
        <f t="shared" si="17"/>
        <v>0</v>
      </c>
      <c r="AC72" s="57"/>
      <c r="AD72" s="57"/>
      <c r="AE72" s="52"/>
    </row>
    <row r="73" spans="1:31" ht="15" customHeight="1">
      <c r="A73" s="22"/>
      <c r="B73" s="88" t="s">
        <v>16</v>
      </c>
      <c r="C73" s="43"/>
      <c r="D73" s="43"/>
      <c r="E73" s="28"/>
      <c r="F73" s="28"/>
      <c r="G73" s="28"/>
      <c r="H73" s="29"/>
      <c r="I73" s="29"/>
      <c r="J73" s="29"/>
      <c r="K73" s="29"/>
      <c r="L73" s="29"/>
      <c r="M73" s="29"/>
      <c r="N73" s="29"/>
      <c r="O73" s="41"/>
      <c r="P73" s="41"/>
      <c r="Q73" s="41"/>
      <c r="R73" s="41"/>
      <c r="S73" s="41"/>
      <c r="T73" s="41"/>
      <c r="U73" s="41"/>
      <c r="V73" s="41"/>
      <c r="W73" s="41"/>
      <c r="X73" s="74"/>
      <c r="Y73" s="53"/>
      <c r="Z73" s="52"/>
      <c r="AA73" s="52"/>
      <c r="AB73" s="52"/>
      <c r="AC73" s="52"/>
      <c r="AD73" s="52"/>
      <c r="AE73" s="52"/>
    </row>
    <row r="74" spans="1:31" s="1" customFormat="1" ht="15" customHeight="1">
      <c r="A74" s="116" t="s">
        <v>49</v>
      </c>
      <c r="B74" s="63" t="s">
        <v>54</v>
      </c>
      <c r="C74" s="64" t="s">
        <v>92</v>
      </c>
      <c r="D74" s="64" t="s">
        <v>92</v>
      </c>
      <c r="E74" s="60">
        <v>6.39</v>
      </c>
      <c r="F74" s="60">
        <v>6.39</v>
      </c>
      <c r="G74" s="65">
        <v>0</v>
      </c>
      <c r="H74" s="67">
        <v>0</v>
      </c>
      <c r="I74" s="65">
        <f>J74*180/150</f>
        <v>0</v>
      </c>
      <c r="J74" s="67">
        <v>0</v>
      </c>
      <c r="K74" s="65">
        <v>10.2</v>
      </c>
      <c r="L74" s="67">
        <v>10.2</v>
      </c>
      <c r="M74" s="65">
        <v>40.8</v>
      </c>
      <c r="N74" s="67">
        <v>40.8</v>
      </c>
      <c r="O74" s="65">
        <f>P74*180/150</f>
        <v>0</v>
      </c>
      <c r="P74" s="67">
        <v>0</v>
      </c>
      <c r="Q74" s="65">
        <f>R74*180/150</f>
        <v>0.024</v>
      </c>
      <c r="R74" s="67">
        <v>0.02</v>
      </c>
      <c r="S74" s="65">
        <v>3.4</v>
      </c>
      <c r="T74" s="67">
        <v>3.4</v>
      </c>
      <c r="U74" s="65">
        <f>V74*180/150</f>
        <v>9.996</v>
      </c>
      <c r="V74" s="67">
        <v>8.33</v>
      </c>
      <c r="W74" s="65">
        <f>X74*180/150</f>
        <v>0.252</v>
      </c>
      <c r="X74" s="100">
        <v>0.21</v>
      </c>
      <c r="Y74" s="56"/>
      <c r="Z74" s="56"/>
      <c r="AA74" s="56"/>
      <c r="AB74" s="56"/>
      <c r="AC74" s="56"/>
      <c r="AD74" s="56"/>
      <c r="AE74" s="56"/>
    </row>
    <row r="75" spans="1:31" ht="15" customHeight="1">
      <c r="A75" s="22"/>
      <c r="B75" s="23" t="s">
        <v>7</v>
      </c>
      <c r="C75" s="43"/>
      <c r="D75" s="43"/>
      <c r="E75" s="17">
        <f>SUM(E74)</f>
        <v>6.39</v>
      </c>
      <c r="F75" s="17">
        <f aca="true" t="shared" si="18" ref="F75:AB75">SUM(F74)</f>
        <v>6.39</v>
      </c>
      <c r="G75" s="17">
        <f t="shared" si="18"/>
        <v>0</v>
      </c>
      <c r="H75" s="17">
        <f t="shared" si="18"/>
        <v>0</v>
      </c>
      <c r="I75" s="17">
        <f t="shared" si="18"/>
        <v>0</v>
      </c>
      <c r="J75" s="17">
        <f t="shared" si="18"/>
        <v>0</v>
      </c>
      <c r="K75" s="17">
        <f t="shared" si="18"/>
        <v>10.2</v>
      </c>
      <c r="L75" s="17">
        <f t="shared" si="18"/>
        <v>10.2</v>
      </c>
      <c r="M75" s="17">
        <f t="shared" si="18"/>
        <v>40.8</v>
      </c>
      <c r="N75" s="17">
        <f t="shared" si="18"/>
        <v>40.8</v>
      </c>
      <c r="O75" s="17">
        <f t="shared" si="18"/>
        <v>0</v>
      </c>
      <c r="P75" s="17">
        <f t="shared" si="18"/>
        <v>0</v>
      </c>
      <c r="Q75" s="17">
        <f t="shared" si="18"/>
        <v>0.024</v>
      </c>
      <c r="R75" s="17">
        <f t="shared" si="18"/>
        <v>0.02</v>
      </c>
      <c r="S75" s="17">
        <f t="shared" si="18"/>
        <v>3.4</v>
      </c>
      <c r="T75" s="17">
        <f t="shared" si="18"/>
        <v>3.4</v>
      </c>
      <c r="U75" s="17">
        <f t="shared" si="18"/>
        <v>9.996</v>
      </c>
      <c r="V75" s="17">
        <f t="shared" si="18"/>
        <v>8.33</v>
      </c>
      <c r="W75" s="17">
        <f t="shared" si="18"/>
        <v>0.252</v>
      </c>
      <c r="X75" s="17">
        <f t="shared" si="18"/>
        <v>0.21</v>
      </c>
      <c r="Y75" s="17">
        <f t="shared" si="18"/>
        <v>0</v>
      </c>
      <c r="Z75" s="17">
        <f t="shared" si="18"/>
        <v>0</v>
      </c>
      <c r="AA75" s="17">
        <f t="shared" si="18"/>
        <v>0</v>
      </c>
      <c r="AB75" s="17">
        <f t="shared" si="18"/>
        <v>0</v>
      </c>
      <c r="AC75" s="57"/>
      <c r="AD75" s="52"/>
      <c r="AE75" s="52"/>
    </row>
    <row r="76" spans="1:31" ht="15" customHeight="1">
      <c r="A76" s="22"/>
      <c r="B76" s="88" t="s">
        <v>9</v>
      </c>
      <c r="C76" s="43"/>
      <c r="D76" s="43"/>
      <c r="E76" s="28"/>
      <c r="F76" s="28"/>
      <c r="G76" s="28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73"/>
      <c r="Y76" s="58"/>
      <c r="Z76" s="56"/>
      <c r="AA76" s="56"/>
      <c r="AB76" s="56"/>
      <c r="AC76" s="56"/>
      <c r="AD76" s="52"/>
      <c r="AE76" s="52"/>
    </row>
    <row r="77" spans="1:24" ht="12.75">
      <c r="A77" s="119" t="s">
        <v>90</v>
      </c>
      <c r="B77" s="23" t="s">
        <v>91</v>
      </c>
      <c r="C77" s="43" t="s">
        <v>28</v>
      </c>
      <c r="D77" s="43" t="s">
        <v>81</v>
      </c>
      <c r="E77" s="28">
        <v>2.11</v>
      </c>
      <c r="F77" s="28">
        <v>1.76</v>
      </c>
      <c r="G77" s="127">
        <f>H77*60/50</f>
        <v>0.6</v>
      </c>
      <c r="H77" s="128">
        <v>0.5</v>
      </c>
      <c r="I77" s="127">
        <f>J77*60/50</f>
        <v>3.6</v>
      </c>
      <c r="J77" s="128">
        <v>3</v>
      </c>
      <c r="K77" s="127">
        <f>L77*60/50</f>
        <v>4.8</v>
      </c>
      <c r="L77" s="128">
        <v>4</v>
      </c>
      <c r="M77" s="127">
        <f>N77*60/50</f>
        <v>54</v>
      </c>
      <c r="N77" s="128">
        <v>45</v>
      </c>
      <c r="O77" s="127">
        <v>0.01</v>
      </c>
      <c r="P77" s="128">
        <v>0</v>
      </c>
      <c r="Q77" s="127">
        <v>0.02</v>
      </c>
      <c r="R77" s="128">
        <v>0</v>
      </c>
      <c r="S77" s="127">
        <f>T77*60/50</f>
        <v>5.172</v>
      </c>
      <c r="T77" s="128">
        <v>4.31</v>
      </c>
      <c r="U77" s="127">
        <v>20.69</v>
      </c>
      <c r="V77" s="128">
        <v>0</v>
      </c>
      <c r="W77" s="127">
        <v>0.78</v>
      </c>
      <c r="X77" s="128">
        <v>0</v>
      </c>
    </row>
    <row r="78" spans="1:31" s="7" customFormat="1" ht="25.5">
      <c r="A78" s="116" t="s">
        <v>85</v>
      </c>
      <c r="B78" s="66" t="s">
        <v>108</v>
      </c>
      <c r="C78" s="64" t="s">
        <v>109</v>
      </c>
      <c r="D78" s="64" t="s">
        <v>110</v>
      </c>
      <c r="E78" s="60">
        <v>14.05</v>
      </c>
      <c r="F78" s="60">
        <v>13.12</v>
      </c>
      <c r="G78" s="65">
        <v>5.49</v>
      </c>
      <c r="H78" s="65">
        <v>5.09</v>
      </c>
      <c r="I78" s="65">
        <v>8.19</v>
      </c>
      <c r="J78" s="65">
        <v>7.33</v>
      </c>
      <c r="K78" s="65">
        <v>8.16</v>
      </c>
      <c r="L78" s="65">
        <v>6.16</v>
      </c>
      <c r="M78" s="65">
        <v>128.31</v>
      </c>
      <c r="N78" s="65">
        <v>110.97</v>
      </c>
      <c r="O78" s="61">
        <v>0.11</v>
      </c>
      <c r="P78" s="61">
        <v>0.12</v>
      </c>
      <c r="Q78" s="61">
        <v>0.09</v>
      </c>
      <c r="R78" s="61">
        <v>0.1</v>
      </c>
      <c r="S78" s="65">
        <v>15.06</v>
      </c>
      <c r="T78" s="61">
        <v>11.37</v>
      </c>
      <c r="U78" s="61">
        <v>27.92</v>
      </c>
      <c r="V78" s="61">
        <v>23.55</v>
      </c>
      <c r="W78" s="61">
        <v>1.84</v>
      </c>
      <c r="X78" s="61">
        <v>2.01</v>
      </c>
      <c r="Z78" s="75"/>
      <c r="AA78" s="75"/>
      <c r="AB78" s="75"/>
      <c r="AC78" s="75"/>
      <c r="AD78" s="75"/>
      <c r="AE78" s="75"/>
    </row>
    <row r="79" spans="1:31" s="146" customFormat="1" ht="24" customHeight="1">
      <c r="A79" s="116" t="s">
        <v>71</v>
      </c>
      <c r="B79" s="66" t="s">
        <v>72</v>
      </c>
      <c r="C79" s="64" t="s">
        <v>28</v>
      </c>
      <c r="D79" s="64" t="s">
        <v>28</v>
      </c>
      <c r="E79" s="60">
        <v>17.11</v>
      </c>
      <c r="F79" s="60">
        <v>17.11</v>
      </c>
      <c r="G79" s="60">
        <v>6.6</v>
      </c>
      <c r="H79" s="60">
        <v>6.6</v>
      </c>
      <c r="I79" s="60">
        <v>9</v>
      </c>
      <c r="J79" s="61">
        <v>9</v>
      </c>
      <c r="K79" s="61">
        <v>1.8</v>
      </c>
      <c r="L79" s="61">
        <v>1.8</v>
      </c>
      <c r="M79" s="61">
        <v>115</v>
      </c>
      <c r="N79" s="61">
        <v>115</v>
      </c>
      <c r="O79" s="68">
        <v>0.05</v>
      </c>
      <c r="P79" s="68">
        <v>0.05</v>
      </c>
      <c r="Q79" s="130">
        <v>0.08</v>
      </c>
      <c r="R79" s="130">
        <v>0.08</v>
      </c>
      <c r="S79" s="130">
        <v>0.35</v>
      </c>
      <c r="T79" s="130">
        <v>0.35</v>
      </c>
      <c r="U79" s="130">
        <v>77.36</v>
      </c>
      <c r="V79" s="130">
        <v>77.36</v>
      </c>
      <c r="W79" s="130">
        <v>1.17</v>
      </c>
      <c r="X79" s="144">
        <v>1.17</v>
      </c>
      <c r="Y79" s="145"/>
      <c r="Z79" s="81"/>
      <c r="AA79" s="81"/>
      <c r="AB79" s="81"/>
      <c r="AC79" s="81"/>
      <c r="AD79" s="81"/>
      <c r="AE79" s="81"/>
    </row>
    <row r="80" spans="1:31" ht="15" customHeight="1">
      <c r="A80" s="116" t="s">
        <v>27</v>
      </c>
      <c r="B80" s="66" t="s">
        <v>25</v>
      </c>
      <c r="C80" s="64" t="s">
        <v>6</v>
      </c>
      <c r="D80" s="64" t="s">
        <v>67</v>
      </c>
      <c r="E80" s="133">
        <v>4.65</v>
      </c>
      <c r="F80" s="133">
        <v>4.03</v>
      </c>
      <c r="G80" s="61">
        <f>H80*150/130</f>
        <v>5.734615384615385</v>
      </c>
      <c r="H80" s="61">
        <v>4.97</v>
      </c>
      <c r="I80" s="61">
        <f>J80*150/130</f>
        <v>5.088461538461538</v>
      </c>
      <c r="J80" s="61">
        <v>4.41</v>
      </c>
      <c r="K80" s="61">
        <f>L80*150/130</f>
        <v>31.18846153846154</v>
      </c>
      <c r="L80" s="61">
        <v>27.03</v>
      </c>
      <c r="M80" s="61">
        <f>N80*150/130</f>
        <v>193.5</v>
      </c>
      <c r="N80" s="61">
        <v>167.7</v>
      </c>
      <c r="O80" s="65">
        <v>0.09</v>
      </c>
      <c r="P80" s="61">
        <f>O80/1.5</f>
        <v>0.06</v>
      </c>
      <c r="Q80" s="65">
        <v>0.06</v>
      </c>
      <c r="R80" s="61">
        <f>Q80/1.5</f>
        <v>0.04</v>
      </c>
      <c r="S80" s="65">
        <v>0</v>
      </c>
      <c r="T80" s="61">
        <f>S80/1.5</f>
        <v>0</v>
      </c>
      <c r="U80" s="65">
        <v>12.89</v>
      </c>
      <c r="V80" s="61">
        <f>U80/1.5</f>
        <v>8.593333333333334</v>
      </c>
      <c r="W80" s="65">
        <v>0.78</v>
      </c>
      <c r="X80" s="80">
        <f>W80/1.5</f>
        <v>0.52</v>
      </c>
      <c r="Y80" s="52"/>
      <c r="Z80" s="52"/>
      <c r="AA80" s="52"/>
      <c r="AB80" s="52"/>
      <c r="AC80" s="52"/>
      <c r="AD80" s="52"/>
      <c r="AE80" s="52"/>
    </row>
    <row r="81" spans="1:31" ht="15.75" customHeight="1">
      <c r="A81" s="115" t="s">
        <v>86</v>
      </c>
      <c r="B81" s="23" t="s">
        <v>87</v>
      </c>
      <c r="C81" s="43" t="s">
        <v>5</v>
      </c>
      <c r="D81" s="43" t="s">
        <v>6</v>
      </c>
      <c r="E81" s="28">
        <v>3.22</v>
      </c>
      <c r="F81" s="28">
        <v>2.41</v>
      </c>
      <c r="G81" s="40">
        <v>1.2</v>
      </c>
      <c r="H81" s="44">
        <v>0.9</v>
      </c>
      <c r="I81" s="40">
        <f>J81*200/150</f>
        <v>0</v>
      </c>
      <c r="J81" s="44">
        <v>0</v>
      </c>
      <c r="K81" s="40">
        <v>31.6</v>
      </c>
      <c r="L81" s="44">
        <v>23.7</v>
      </c>
      <c r="M81" s="40">
        <v>126</v>
      </c>
      <c r="N81" s="44">
        <v>94.5</v>
      </c>
      <c r="O81" s="29">
        <v>0.02</v>
      </c>
      <c r="P81" s="29">
        <f>O81*150/200</f>
        <v>0.015</v>
      </c>
      <c r="Q81" s="29">
        <v>0.01</v>
      </c>
      <c r="R81" s="29">
        <f>Q81*150/200</f>
        <v>0.0075</v>
      </c>
      <c r="S81" s="29">
        <v>0</v>
      </c>
      <c r="T81" s="61">
        <v>0</v>
      </c>
      <c r="U81" s="68">
        <v>25.91</v>
      </c>
      <c r="V81" s="61">
        <f>U81*150/200</f>
        <v>19.4325</v>
      </c>
      <c r="W81" s="68">
        <v>0.65</v>
      </c>
      <c r="X81" s="80">
        <f>W81*150/200</f>
        <v>0.4875</v>
      </c>
      <c r="Y81" s="52"/>
      <c r="Z81" s="52"/>
      <c r="AA81" s="52"/>
      <c r="AB81" s="52"/>
      <c r="AC81" s="52"/>
      <c r="AD81" s="52"/>
      <c r="AE81" s="52"/>
    </row>
    <row r="82" spans="1:31" s="16" customFormat="1" ht="15" customHeight="1">
      <c r="A82" s="115"/>
      <c r="B82" s="23" t="s">
        <v>11</v>
      </c>
      <c r="C82" s="43" t="s">
        <v>14</v>
      </c>
      <c r="D82" s="43" t="s">
        <v>14</v>
      </c>
      <c r="E82" s="28">
        <v>1.22</v>
      </c>
      <c r="F82" s="28">
        <v>1.22</v>
      </c>
      <c r="G82" s="28">
        <v>1.6</v>
      </c>
      <c r="H82" s="28">
        <v>1.6</v>
      </c>
      <c r="I82" s="28">
        <v>0.4</v>
      </c>
      <c r="J82" s="28">
        <v>0.4</v>
      </c>
      <c r="K82" s="28">
        <v>10</v>
      </c>
      <c r="L82" s="28">
        <v>10</v>
      </c>
      <c r="M82" s="29">
        <v>54</v>
      </c>
      <c r="N82" s="29">
        <v>54</v>
      </c>
      <c r="O82" s="42">
        <v>0.04</v>
      </c>
      <c r="P82" s="46">
        <v>0.04</v>
      </c>
      <c r="Q82" s="42">
        <v>0.02</v>
      </c>
      <c r="R82" s="46">
        <v>0.02</v>
      </c>
      <c r="S82" s="42">
        <v>0</v>
      </c>
      <c r="T82" s="46">
        <v>0</v>
      </c>
      <c r="U82" s="42">
        <v>7.4</v>
      </c>
      <c r="V82" s="46">
        <v>7.4</v>
      </c>
      <c r="W82" s="42">
        <v>0.56</v>
      </c>
      <c r="X82" s="46">
        <v>0.56</v>
      </c>
      <c r="Y82" s="55"/>
      <c r="Z82" s="55"/>
      <c r="AA82" s="55"/>
      <c r="AB82" s="55"/>
      <c r="AC82" s="55"/>
      <c r="AD82" s="55"/>
      <c r="AE82" s="55"/>
    </row>
    <row r="83" spans="1:31" ht="15" customHeight="1">
      <c r="A83" s="115"/>
      <c r="B83" s="23" t="s">
        <v>45</v>
      </c>
      <c r="C83" s="43" t="s">
        <v>68</v>
      </c>
      <c r="D83" s="43" t="s">
        <v>69</v>
      </c>
      <c r="E83" s="28">
        <v>2.3</v>
      </c>
      <c r="F83" s="28">
        <v>2.01</v>
      </c>
      <c r="G83" s="28">
        <v>3.25</v>
      </c>
      <c r="H83" s="29">
        <v>2.84</v>
      </c>
      <c r="I83" s="29">
        <v>0.46</v>
      </c>
      <c r="J83" s="29">
        <f>I83*40.6/46</f>
        <v>0.406</v>
      </c>
      <c r="K83" s="29">
        <v>20.88</v>
      </c>
      <c r="L83" s="29">
        <v>18.27</v>
      </c>
      <c r="M83" s="29">
        <v>102.08</v>
      </c>
      <c r="N83" s="29">
        <v>89.32</v>
      </c>
      <c r="O83" s="40">
        <v>0.06</v>
      </c>
      <c r="P83" s="44">
        <v>0.04</v>
      </c>
      <c r="Q83" s="40">
        <v>0.04</v>
      </c>
      <c r="R83" s="44">
        <v>0.03</v>
      </c>
      <c r="S83" s="40">
        <v>0</v>
      </c>
      <c r="T83" s="29">
        <f>S83*40.6/46</f>
        <v>0</v>
      </c>
      <c r="U83" s="42">
        <v>17</v>
      </c>
      <c r="V83" s="46">
        <v>13.6</v>
      </c>
      <c r="W83" s="42">
        <v>1.15</v>
      </c>
      <c r="X83" s="46">
        <v>0.92</v>
      </c>
      <c r="Y83" s="52"/>
      <c r="Z83" s="52"/>
      <c r="AA83" s="52"/>
      <c r="AB83" s="52"/>
      <c r="AC83" s="52"/>
      <c r="AD83" s="52"/>
      <c r="AE83" s="52"/>
    </row>
    <row r="84" spans="1:31" ht="15" customHeight="1">
      <c r="A84" s="22"/>
      <c r="B84" s="23" t="s">
        <v>7</v>
      </c>
      <c r="C84" s="43"/>
      <c r="D84" s="43"/>
      <c r="E84" s="17">
        <f>SUM(E77:E83)</f>
        <v>44.65999999999999</v>
      </c>
      <c r="F84" s="17">
        <f aca="true" t="shared" si="19" ref="F84:R84">SUM(F77:F83)</f>
        <v>41.65999999999999</v>
      </c>
      <c r="G84" s="17">
        <f t="shared" si="19"/>
        <v>24.474615384615387</v>
      </c>
      <c r="H84" s="17">
        <f t="shared" si="19"/>
        <v>22.5</v>
      </c>
      <c r="I84" s="17">
        <f>SUM(I77:I83)-8</f>
        <v>18.738461538461536</v>
      </c>
      <c r="J84" s="17">
        <f>SUM(J77:J83)-8</f>
        <v>16.545999999999996</v>
      </c>
      <c r="K84" s="17">
        <f t="shared" si="19"/>
        <v>108.42846153846153</v>
      </c>
      <c r="L84" s="17">
        <f t="shared" si="19"/>
        <v>90.96</v>
      </c>
      <c r="M84" s="17">
        <f>SUM(M77:M83)-200</f>
        <v>572.89</v>
      </c>
      <c r="N84" s="17">
        <f>SUM(N77:N83)-200</f>
        <v>476.49</v>
      </c>
      <c r="O84" s="17">
        <f t="shared" si="19"/>
        <v>0.38</v>
      </c>
      <c r="P84" s="17">
        <f t="shared" si="19"/>
        <v>0.32499999999999996</v>
      </c>
      <c r="Q84" s="17">
        <f t="shared" si="19"/>
        <v>0.32</v>
      </c>
      <c r="R84" s="17">
        <f t="shared" si="19"/>
        <v>0.27749999999999997</v>
      </c>
      <c r="S84" s="17">
        <f>SUM(S77:S83)+8</f>
        <v>28.582</v>
      </c>
      <c r="T84" s="17">
        <f>SUM(T77:T83)+8</f>
        <v>24.03</v>
      </c>
      <c r="U84" s="17">
        <f>SUM(U77:U83)</f>
        <v>189.17000000000002</v>
      </c>
      <c r="V84" s="17">
        <f>SUM(V77:V83)</f>
        <v>149.93583333333333</v>
      </c>
      <c r="W84" s="17">
        <f>SUM(W77:W83)-2</f>
        <v>4.9300000000000015</v>
      </c>
      <c r="X84" s="71">
        <f>SUM(X77:X83)-2</f>
        <v>3.6675000000000004</v>
      </c>
      <c r="Y84" s="62"/>
      <c r="Z84" s="57"/>
      <c r="AA84" s="57"/>
      <c r="AB84" s="57"/>
      <c r="AC84" s="57"/>
      <c r="AD84" s="52"/>
      <c r="AE84" s="52"/>
    </row>
    <row r="85" spans="1:31" ht="15" customHeight="1">
      <c r="A85" s="22"/>
      <c r="B85" s="88" t="s">
        <v>17</v>
      </c>
      <c r="C85" s="43"/>
      <c r="D85" s="43"/>
      <c r="E85" s="28"/>
      <c r="F85" s="28"/>
      <c r="G85" s="28"/>
      <c r="H85" s="29"/>
      <c r="I85" s="29"/>
      <c r="J85" s="29"/>
      <c r="K85" s="29"/>
      <c r="L85" s="29"/>
      <c r="M85" s="29"/>
      <c r="N85" s="29"/>
      <c r="O85" s="41"/>
      <c r="P85" s="41"/>
      <c r="Q85" s="41"/>
      <c r="R85" s="41"/>
      <c r="S85" s="41"/>
      <c r="T85" s="41"/>
      <c r="U85" s="41"/>
      <c r="V85" s="41"/>
      <c r="W85" s="41"/>
      <c r="X85" s="74"/>
      <c r="Y85" s="53"/>
      <c r="Z85" s="52"/>
      <c r="AA85" s="52"/>
      <c r="AB85" s="52"/>
      <c r="AC85" s="52"/>
      <c r="AD85" s="52"/>
      <c r="AE85" s="52"/>
    </row>
    <row r="86" spans="1:31" ht="15" customHeight="1">
      <c r="A86" s="115" t="s">
        <v>21</v>
      </c>
      <c r="B86" s="23" t="s">
        <v>18</v>
      </c>
      <c r="C86" s="43" t="s">
        <v>5</v>
      </c>
      <c r="D86" s="43" t="s">
        <v>29</v>
      </c>
      <c r="E86" s="28">
        <v>11.51</v>
      </c>
      <c r="F86" s="28">
        <v>10.36</v>
      </c>
      <c r="G86" s="28">
        <f>H86*200/180</f>
        <v>5.9</v>
      </c>
      <c r="H86" s="29">
        <v>5.31</v>
      </c>
      <c r="I86" s="28">
        <f>J86*200/180</f>
        <v>5</v>
      </c>
      <c r="J86" s="29">
        <v>4.5</v>
      </c>
      <c r="K86" s="28">
        <f>L86*200/180</f>
        <v>9.9</v>
      </c>
      <c r="L86" s="29">
        <v>8.91</v>
      </c>
      <c r="M86" s="28">
        <f>N86*200/180</f>
        <v>108.2</v>
      </c>
      <c r="N86" s="29">
        <v>97.38</v>
      </c>
      <c r="O86" s="28">
        <v>0.07</v>
      </c>
      <c r="P86" s="29">
        <v>0.07</v>
      </c>
      <c r="Q86" s="28">
        <v>0.3</v>
      </c>
      <c r="R86" s="29">
        <v>0.3</v>
      </c>
      <c r="S86" s="28">
        <f>T86*200/180</f>
        <v>2.7333333333333334</v>
      </c>
      <c r="T86" s="29">
        <v>2.46</v>
      </c>
      <c r="U86" s="28">
        <v>275.74</v>
      </c>
      <c r="V86" s="29">
        <v>275.74</v>
      </c>
      <c r="W86" s="28">
        <v>0.23</v>
      </c>
      <c r="X86" s="29">
        <v>0.23</v>
      </c>
      <c r="Y86" s="56"/>
      <c r="Z86" s="56"/>
      <c r="AA86" s="56"/>
      <c r="AB86" s="56"/>
      <c r="AC86" s="56"/>
      <c r="AD86" s="56"/>
      <c r="AE86" s="52"/>
    </row>
    <row r="87" spans="1:31" ht="15" customHeight="1">
      <c r="A87" s="22"/>
      <c r="B87" s="23" t="s">
        <v>7</v>
      </c>
      <c r="C87" s="43"/>
      <c r="D87" s="43"/>
      <c r="E87" s="17">
        <f>SUM(E86)</f>
        <v>11.51</v>
      </c>
      <c r="F87" s="17">
        <f aca="true" t="shared" si="20" ref="F87:T87">SUM(F86)</f>
        <v>10.36</v>
      </c>
      <c r="G87" s="17">
        <f t="shared" si="20"/>
        <v>5.9</v>
      </c>
      <c r="H87" s="17">
        <f t="shared" si="20"/>
        <v>5.31</v>
      </c>
      <c r="I87" s="17">
        <f t="shared" si="20"/>
        <v>5</v>
      </c>
      <c r="J87" s="17">
        <f t="shared" si="20"/>
        <v>4.5</v>
      </c>
      <c r="K87" s="17">
        <f t="shared" si="20"/>
        <v>9.9</v>
      </c>
      <c r="L87" s="17">
        <f t="shared" si="20"/>
        <v>8.91</v>
      </c>
      <c r="M87" s="17">
        <f t="shared" si="20"/>
        <v>108.2</v>
      </c>
      <c r="N87" s="17">
        <f t="shared" si="20"/>
        <v>97.38</v>
      </c>
      <c r="O87" s="17">
        <f t="shared" si="20"/>
        <v>0.07</v>
      </c>
      <c r="P87" s="17">
        <f t="shared" si="20"/>
        <v>0.07</v>
      </c>
      <c r="Q87" s="17">
        <f t="shared" si="20"/>
        <v>0.3</v>
      </c>
      <c r="R87" s="17">
        <f t="shared" si="20"/>
        <v>0.3</v>
      </c>
      <c r="S87" s="17">
        <f t="shared" si="20"/>
        <v>2.7333333333333334</v>
      </c>
      <c r="T87" s="17">
        <f t="shared" si="20"/>
        <v>2.46</v>
      </c>
      <c r="U87" s="17">
        <f aca="true" t="shared" si="21" ref="U87:AB87">SUM(U86)</f>
        <v>275.74</v>
      </c>
      <c r="V87" s="17">
        <f t="shared" si="21"/>
        <v>275.74</v>
      </c>
      <c r="W87" s="17">
        <f t="shared" si="21"/>
        <v>0.23</v>
      </c>
      <c r="X87" s="17">
        <f t="shared" si="21"/>
        <v>0.23</v>
      </c>
      <c r="Y87" s="17">
        <f t="shared" si="21"/>
        <v>0</v>
      </c>
      <c r="Z87" s="17">
        <f t="shared" si="21"/>
        <v>0</v>
      </c>
      <c r="AA87" s="17">
        <f t="shared" si="21"/>
        <v>0</v>
      </c>
      <c r="AB87" s="17">
        <f t="shared" si="21"/>
        <v>0</v>
      </c>
      <c r="AC87" s="57"/>
      <c r="AD87" s="52"/>
      <c r="AE87" s="52"/>
    </row>
    <row r="88" spans="1:31" ht="15" customHeight="1">
      <c r="A88" s="26"/>
      <c r="B88" s="88" t="s">
        <v>13</v>
      </c>
      <c r="C88" s="43"/>
      <c r="D88" s="43"/>
      <c r="E88" s="28"/>
      <c r="F88" s="28"/>
      <c r="G88" s="28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41"/>
      <c r="U88" s="41"/>
      <c r="V88" s="41"/>
      <c r="W88" s="41"/>
      <c r="X88" s="74"/>
      <c r="Y88" s="53"/>
      <c r="Z88" s="52"/>
      <c r="AA88" s="52"/>
      <c r="AB88" s="52"/>
      <c r="AC88" s="52"/>
      <c r="AD88" s="52"/>
      <c r="AE88" s="52"/>
    </row>
    <row r="89" spans="1:33" ht="15" customHeight="1">
      <c r="A89" s="116"/>
      <c r="B89" s="63" t="s">
        <v>120</v>
      </c>
      <c r="C89" s="64" t="s">
        <v>169</v>
      </c>
      <c r="D89" s="64" t="s">
        <v>169</v>
      </c>
      <c r="E89" s="60">
        <v>6.73</v>
      </c>
      <c r="F89" s="60">
        <v>6.73</v>
      </c>
      <c r="G89" s="28">
        <f>H89*76/76</f>
        <v>0.63</v>
      </c>
      <c r="H89" s="61">
        <v>0.63</v>
      </c>
      <c r="I89" s="60">
        <v>0</v>
      </c>
      <c r="J89" s="61">
        <v>0</v>
      </c>
      <c r="K89" s="28">
        <f>L89*76/76</f>
        <v>5.92</v>
      </c>
      <c r="L89" s="61">
        <v>5.92</v>
      </c>
      <c r="M89" s="28">
        <f>N89*76/76</f>
        <v>29.97</v>
      </c>
      <c r="N89" s="61">
        <v>29.97</v>
      </c>
      <c r="O89" s="60">
        <v>0.02</v>
      </c>
      <c r="P89" s="61">
        <v>0.02</v>
      </c>
      <c r="Q89" s="60">
        <f>R89*160/150</f>
        <v>0.05333333333333334</v>
      </c>
      <c r="R89" s="61">
        <v>0.05</v>
      </c>
      <c r="S89" s="28">
        <f>T89*76/76</f>
        <v>29.97</v>
      </c>
      <c r="T89" s="61">
        <v>29.97</v>
      </c>
      <c r="U89" s="60">
        <v>24</v>
      </c>
      <c r="V89" s="61">
        <v>24</v>
      </c>
      <c r="W89" s="60">
        <v>3.3</v>
      </c>
      <c r="X89" s="69">
        <v>3.3</v>
      </c>
      <c r="Y89" s="53"/>
      <c r="Z89" s="52"/>
      <c r="AA89" s="52"/>
      <c r="AB89" s="52"/>
      <c r="AC89" s="52"/>
      <c r="AD89" s="52"/>
      <c r="AE89" s="52"/>
      <c r="AF89" s="52"/>
      <c r="AG89" s="52"/>
    </row>
    <row r="90" spans="1:31" s="7" customFormat="1" ht="30" customHeight="1">
      <c r="A90" s="118" t="s">
        <v>133</v>
      </c>
      <c r="B90" s="23" t="s">
        <v>134</v>
      </c>
      <c r="C90" s="43" t="s">
        <v>80</v>
      </c>
      <c r="D90" s="43" t="s">
        <v>80</v>
      </c>
      <c r="E90" s="28">
        <v>14.31</v>
      </c>
      <c r="F90" s="28">
        <v>14.31</v>
      </c>
      <c r="G90" s="28">
        <v>9.28</v>
      </c>
      <c r="H90" s="29">
        <v>9.28</v>
      </c>
      <c r="I90" s="28">
        <v>5.94</v>
      </c>
      <c r="J90" s="29">
        <v>5.94</v>
      </c>
      <c r="K90" s="28">
        <v>12.52</v>
      </c>
      <c r="L90" s="29">
        <v>12.52</v>
      </c>
      <c r="M90" s="28">
        <v>141.4</v>
      </c>
      <c r="N90" s="29">
        <v>141.4</v>
      </c>
      <c r="O90" s="29">
        <v>0.09</v>
      </c>
      <c r="P90" s="29">
        <v>0.09</v>
      </c>
      <c r="Q90" s="29">
        <v>0.1</v>
      </c>
      <c r="R90" s="29">
        <v>0.1</v>
      </c>
      <c r="S90" s="28">
        <v>0.83</v>
      </c>
      <c r="T90" s="29">
        <v>0.83</v>
      </c>
      <c r="U90" s="29">
        <v>23.97</v>
      </c>
      <c r="V90" s="29">
        <v>23.97</v>
      </c>
      <c r="W90" s="29">
        <v>0.61</v>
      </c>
      <c r="X90" s="73">
        <v>0.61</v>
      </c>
      <c r="Y90" s="81"/>
      <c r="Z90" s="81"/>
      <c r="AA90" s="81"/>
      <c r="AB90" s="75"/>
      <c r="AC90" s="75"/>
      <c r="AD90" s="75"/>
      <c r="AE90" s="75"/>
    </row>
    <row r="91" spans="1:29" ht="15.75" customHeight="1">
      <c r="A91" s="115" t="s">
        <v>26</v>
      </c>
      <c r="B91" s="25" t="s">
        <v>107</v>
      </c>
      <c r="C91" s="43" t="s">
        <v>67</v>
      </c>
      <c r="D91" s="43" t="s">
        <v>67</v>
      </c>
      <c r="E91" s="28">
        <v>3.63</v>
      </c>
      <c r="F91" s="28">
        <v>3.63</v>
      </c>
      <c r="G91" s="28">
        <v>1.95</v>
      </c>
      <c r="H91" s="28">
        <f>G91*130/130</f>
        <v>1.95</v>
      </c>
      <c r="I91" s="28">
        <v>5.07</v>
      </c>
      <c r="J91" s="28">
        <f>I91*130/130</f>
        <v>5.07</v>
      </c>
      <c r="K91" s="28">
        <v>19.89</v>
      </c>
      <c r="L91" s="28">
        <f>K91*130/130</f>
        <v>19.89</v>
      </c>
      <c r="M91" s="28">
        <v>132.99</v>
      </c>
      <c r="N91" s="28">
        <f>M91*130/130</f>
        <v>132.99</v>
      </c>
      <c r="O91" s="28">
        <f>P91*1.3</f>
        <v>0.24700000000000003</v>
      </c>
      <c r="P91" s="29">
        <v>0.19</v>
      </c>
      <c r="Q91" s="28">
        <f>R91*1.3</f>
        <v>0.052000000000000005</v>
      </c>
      <c r="R91" s="29">
        <v>0.04</v>
      </c>
      <c r="S91" s="28">
        <f>T91*150/100</f>
        <v>0</v>
      </c>
      <c r="T91" s="29">
        <v>0</v>
      </c>
      <c r="U91" s="28">
        <f>V91*1.3</f>
        <v>31.628999999999998</v>
      </c>
      <c r="V91" s="29">
        <v>24.33</v>
      </c>
      <c r="W91" s="28">
        <f>X91*1.3</f>
        <v>1.222</v>
      </c>
      <c r="X91" s="29">
        <v>0.94</v>
      </c>
      <c r="Z91" s="56"/>
      <c r="AA91" s="56"/>
      <c r="AB91" s="56"/>
      <c r="AC91" s="52"/>
    </row>
    <row r="92" spans="1:31" ht="15" customHeight="1">
      <c r="A92" s="116" t="s">
        <v>75</v>
      </c>
      <c r="B92" s="66" t="s">
        <v>76</v>
      </c>
      <c r="C92" s="64" t="s">
        <v>5</v>
      </c>
      <c r="D92" s="64" t="s">
        <v>6</v>
      </c>
      <c r="E92" s="60">
        <v>0.58</v>
      </c>
      <c r="F92" s="60">
        <v>0.44</v>
      </c>
      <c r="G92" s="60">
        <v>0.18</v>
      </c>
      <c r="H92" s="61">
        <v>0.13</v>
      </c>
      <c r="I92" s="60">
        <f>J92*200/150</f>
        <v>0</v>
      </c>
      <c r="J92" s="61">
        <v>0</v>
      </c>
      <c r="K92" s="60">
        <v>4.78</v>
      </c>
      <c r="L92" s="61">
        <v>3.58</v>
      </c>
      <c r="M92" s="60">
        <v>19.9</v>
      </c>
      <c r="N92" s="61">
        <v>14.92</v>
      </c>
      <c r="O92" s="60">
        <f>P92*200/150</f>
        <v>0.013333333333333334</v>
      </c>
      <c r="P92" s="68">
        <v>0.01</v>
      </c>
      <c r="Q92" s="60">
        <f>R92*200/150</f>
        <v>0.013333333333333334</v>
      </c>
      <c r="R92" s="68">
        <v>0.01</v>
      </c>
      <c r="S92" s="60">
        <v>0.04</v>
      </c>
      <c r="T92" s="68">
        <v>0.03</v>
      </c>
      <c r="U92" s="60">
        <f>V92*200/150</f>
        <v>5.053333333333334</v>
      </c>
      <c r="V92" s="68">
        <v>3.79</v>
      </c>
      <c r="W92" s="60">
        <f>X92*200/150</f>
        <v>0.84</v>
      </c>
      <c r="X92" s="109">
        <v>0.63</v>
      </c>
      <c r="Y92" s="52"/>
      <c r="Z92" s="52"/>
      <c r="AA92" s="52"/>
      <c r="AB92" s="52"/>
      <c r="AC92" s="52"/>
      <c r="AD92" s="52"/>
      <c r="AE92" s="52"/>
    </row>
    <row r="93" spans="1:31" s="16" customFormat="1" ht="15" customHeight="1">
      <c r="A93" s="115"/>
      <c r="B93" s="23" t="s">
        <v>11</v>
      </c>
      <c r="C93" s="43" t="s">
        <v>14</v>
      </c>
      <c r="D93" s="43" t="s">
        <v>14</v>
      </c>
      <c r="E93" s="28">
        <v>1.22</v>
      </c>
      <c r="F93" s="28">
        <v>1.22</v>
      </c>
      <c r="G93" s="28">
        <v>1.6</v>
      </c>
      <c r="H93" s="28">
        <v>1.6</v>
      </c>
      <c r="I93" s="28">
        <v>0.4</v>
      </c>
      <c r="J93" s="28">
        <v>0.4</v>
      </c>
      <c r="K93" s="28">
        <v>10</v>
      </c>
      <c r="L93" s="28">
        <v>10</v>
      </c>
      <c r="M93" s="29">
        <v>54</v>
      </c>
      <c r="N93" s="29">
        <v>54</v>
      </c>
      <c r="O93" s="42">
        <v>0.04</v>
      </c>
      <c r="P93" s="46">
        <v>0.04</v>
      </c>
      <c r="Q93" s="42">
        <v>0.02</v>
      </c>
      <c r="R93" s="46">
        <v>0.02</v>
      </c>
      <c r="S93" s="42">
        <v>0</v>
      </c>
      <c r="T93" s="46">
        <v>0</v>
      </c>
      <c r="U93" s="42">
        <v>7.4</v>
      </c>
      <c r="V93" s="46">
        <v>7.4</v>
      </c>
      <c r="W93" s="42">
        <v>0.56</v>
      </c>
      <c r="X93" s="46">
        <v>0.56</v>
      </c>
      <c r="Y93" s="55"/>
      <c r="Z93" s="55"/>
      <c r="AA93" s="55"/>
      <c r="AB93" s="55"/>
      <c r="AC93" s="55"/>
      <c r="AD93" s="55"/>
      <c r="AE93" s="55"/>
    </row>
    <row r="94" spans="1:31" ht="15" customHeight="1">
      <c r="A94" s="22"/>
      <c r="B94" s="23" t="s">
        <v>7</v>
      </c>
      <c r="C94" s="43"/>
      <c r="D94" s="43"/>
      <c r="E94" s="17">
        <f>SUM(E89:E93)</f>
        <v>26.469999999999995</v>
      </c>
      <c r="F94" s="17">
        <f aca="true" t="shared" si="22" ref="F94:T94">SUM(F89:F93)</f>
        <v>26.33</v>
      </c>
      <c r="G94" s="17">
        <f t="shared" si="22"/>
        <v>13.639999999999999</v>
      </c>
      <c r="H94" s="17">
        <f t="shared" si="22"/>
        <v>13.59</v>
      </c>
      <c r="I94" s="17">
        <f t="shared" si="22"/>
        <v>11.410000000000002</v>
      </c>
      <c r="J94" s="17">
        <f t="shared" si="22"/>
        <v>11.410000000000002</v>
      </c>
      <c r="K94" s="17">
        <f t="shared" si="22"/>
        <v>53.11</v>
      </c>
      <c r="L94" s="17">
        <f t="shared" si="22"/>
        <v>51.91</v>
      </c>
      <c r="M94" s="17">
        <f t="shared" si="22"/>
        <v>378.26</v>
      </c>
      <c r="N94" s="17">
        <f t="shared" si="22"/>
        <v>373.28000000000003</v>
      </c>
      <c r="O94" s="17">
        <f t="shared" si="22"/>
        <v>0.4103333333333333</v>
      </c>
      <c r="P94" s="17">
        <f t="shared" si="22"/>
        <v>0.35</v>
      </c>
      <c r="Q94" s="17">
        <f t="shared" si="22"/>
        <v>0.2386666666666667</v>
      </c>
      <c r="R94" s="17">
        <f t="shared" si="22"/>
        <v>0.22000000000000003</v>
      </c>
      <c r="S94" s="17">
        <f t="shared" si="22"/>
        <v>30.839999999999996</v>
      </c>
      <c r="T94" s="17">
        <f t="shared" si="22"/>
        <v>30.83</v>
      </c>
      <c r="U94" s="17">
        <f>SUM(U89:U93)</f>
        <v>92.05233333333332</v>
      </c>
      <c r="V94" s="17">
        <f>SUM(V89:V93)</f>
        <v>83.49000000000001</v>
      </c>
      <c r="W94" s="17">
        <f>SUM(W89:W93)</f>
        <v>6.532</v>
      </c>
      <c r="X94" s="17">
        <f>SUM(X89:X93)</f>
        <v>6.039999999999999</v>
      </c>
      <c r="Y94" s="71">
        <f>SUM(Y89:Y93)</f>
        <v>0</v>
      </c>
      <c r="Z94" s="57"/>
      <c r="AA94" s="57"/>
      <c r="AB94" s="57"/>
      <c r="AC94" s="57"/>
      <c r="AD94" s="52"/>
      <c r="AE94" s="52"/>
    </row>
    <row r="95" spans="1:31" ht="15" customHeight="1">
      <c r="A95" s="22"/>
      <c r="B95" s="23" t="s">
        <v>15</v>
      </c>
      <c r="C95" s="43"/>
      <c r="D95" s="28"/>
      <c r="E95" s="17">
        <f>SUM(E94,E87,E84,E75,E72)</f>
        <v>107.41</v>
      </c>
      <c r="F95" s="17">
        <f aca="true" t="shared" si="23" ref="F95:T95">SUM(F94,F87,F84,F75,F72)</f>
        <v>100.63</v>
      </c>
      <c r="G95" s="17">
        <f t="shared" si="23"/>
        <v>55.05461538461538</v>
      </c>
      <c r="H95" s="17">
        <f t="shared" si="23"/>
        <v>50.62</v>
      </c>
      <c r="I95" s="17">
        <f t="shared" si="23"/>
        <v>48.86846153846154</v>
      </c>
      <c r="J95" s="17">
        <f t="shared" si="23"/>
        <v>44.455999999999996</v>
      </c>
      <c r="K95" s="17">
        <f t="shared" si="23"/>
        <v>244.7084615384615</v>
      </c>
      <c r="L95" s="17">
        <f t="shared" si="23"/>
        <v>211.73999999999995</v>
      </c>
      <c r="M95" s="17">
        <f t="shared" si="23"/>
        <v>1520.4699999999998</v>
      </c>
      <c r="N95" s="17">
        <f t="shared" si="23"/>
        <v>1331.88</v>
      </c>
      <c r="O95" s="17">
        <f t="shared" si="23"/>
        <v>1.0723333333333334</v>
      </c>
      <c r="P95" s="17">
        <f t="shared" si="23"/>
        <v>0.8983333333333332</v>
      </c>
      <c r="Q95" s="17">
        <f t="shared" si="23"/>
        <v>1.0666666666666667</v>
      </c>
      <c r="R95" s="17">
        <f t="shared" si="23"/>
        <v>0.9575</v>
      </c>
      <c r="S95" s="17">
        <f t="shared" si="23"/>
        <v>66.86533333333334</v>
      </c>
      <c r="T95" s="17">
        <f t="shared" si="23"/>
        <v>61.835</v>
      </c>
      <c r="U95" s="48">
        <f>U94+U87+U84+U75+U72</f>
        <v>696.821</v>
      </c>
      <c r="V95" s="17">
        <f>V94+V87+V84+V75+V72</f>
        <v>613.7858333333334</v>
      </c>
      <c r="W95" s="17">
        <f>W94+W87+W84+W75+W72-4</f>
        <v>9.738000000000003</v>
      </c>
      <c r="X95" s="71">
        <f>X94+X87+X84+X75+X72-1</f>
        <v>10.447500000000002</v>
      </c>
      <c r="Y95" s="62"/>
      <c r="Z95" s="57"/>
      <c r="AA95" s="57"/>
      <c r="AB95" s="57"/>
      <c r="AC95" s="57"/>
      <c r="AD95" s="52"/>
      <c r="AE95" s="52"/>
    </row>
    <row r="96" spans="1:31" ht="15" customHeight="1">
      <c r="A96" s="22"/>
      <c r="B96" s="123" t="s">
        <v>140</v>
      </c>
      <c r="C96" s="43"/>
      <c r="D96" s="43"/>
      <c r="E96" s="28"/>
      <c r="F96" s="28"/>
      <c r="G96" s="28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41"/>
      <c r="U96" s="41"/>
      <c r="V96" s="41"/>
      <c r="W96" s="41"/>
      <c r="X96" s="74"/>
      <c r="Y96" s="53"/>
      <c r="Z96" s="52"/>
      <c r="AA96" s="52"/>
      <c r="AB96" s="52"/>
      <c r="AC96" s="52"/>
      <c r="AD96" s="113"/>
      <c r="AE96" s="113"/>
    </row>
    <row r="97" spans="1:31" ht="15" customHeight="1">
      <c r="A97" s="22"/>
      <c r="B97" s="88" t="s">
        <v>4</v>
      </c>
      <c r="C97" s="43"/>
      <c r="D97" s="43"/>
      <c r="E97" s="28"/>
      <c r="F97" s="28"/>
      <c r="G97" s="28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41"/>
      <c r="U97" s="41"/>
      <c r="V97" s="41"/>
      <c r="W97" s="41"/>
      <c r="X97" s="74"/>
      <c r="Y97" s="53"/>
      <c r="Z97" s="52"/>
      <c r="AA97" s="52"/>
      <c r="AB97" s="52"/>
      <c r="AC97" s="52"/>
      <c r="AD97" s="52"/>
      <c r="AE97" s="52"/>
    </row>
    <row r="98" spans="1:30" s="1" customFormat="1" ht="14.25" customHeight="1">
      <c r="A98" s="115" t="s">
        <v>56</v>
      </c>
      <c r="B98" s="23" t="s">
        <v>117</v>
      </c>
      <c r="C98" s="43" t="s">
        <v>118</v>
      </c>
      <c r="D98" s="43" t="s">
        <v>118</v>
      </c>
      <c r="E98" s="28">
        <v>7.11</v>
      </c>
      <c r="F98" s="28">
        <v>7.11</v>
      </c>
      <c r="G98" s="28">
        <v>2.93</v>
      </c>
      <c r="H98" s="29">
        <v>2.93</v>
      </c>
      <c r="I98" s="28">
        <v>6.05</v>
      </c>
      <c r="J98" s="29">
        <v>6.05</v>
      </c>
      <c r="K98" s="28">
        <v>10.4</v>
      </c>
      <c r="L98" s="29">
        <v>10.4</v>
      </c>
      <c r="M98" s="28">
        <v>107.77</v>
      </c>
      <c r="N98" s="29">
        <v>107.77</v>
      </c>
      <c r="O98" s="29">
        <v>0.08</v>
      </c>
      <c r="P98" s="29">
        <f>O98*40/60</f>
        <v>0.05333333333333334</v>
      </c>
      <c r="Q98" s="29">
        <v>0.06</v>
      </c>
      <c r="R98" s="29">
        <f>Q98*40/60</f>
        <v>0.04</v>
      </c>
      <c r="S98" s="28">
        <v>0.14</v>
      </c>
      <c r="T98" s="29">
        <v>0.14</v>
      </c>
      <c r="U98" s="29">
        <v>70.8</v>
      </c>
      <c r="V98" s="29">
        <f>U98*40/60</f>
        <v>47.2</v>
      </c>
      <c r="W98" s="29">
        <v>0.81</v>
      </c>
      <c r="X98" s="73">
        <f>W98*40/60</f>
        <v>0.5400000000000001</v>
      </c>
      <c r="Y98" s="58"/>
      <c r="Z98" s="56"/>
      <c r="AA98" s="56"/>
      <c r="AB98" s="56"/>
      <c r="AC98" s="56"/>
      <c r="AD98" s="56"/>
    </row>
    <row r="99" spans="1:31" ht="27" customHeight="1">
      <c r="A99" s="115" t="s">
        <v>111</v>
      </c>
      <c r="B99" s="23" t="s">
        <v>112</v>
      </c>
      <c r="C99" s="43" t="s">
        <v>100</v>
      </c>
      <c r="D99" s="43" t="s">
        <v>101</v>
      </c>
      <c r="E99" s="28">
        <v>13.25</v>
      </c>
      <c r="F99" s="28">
        <v>10.57</v>
      </c>
      <c r="G99" s="28">
        <v>6.86</v>
      </c>
      <c r="H99" s="28">
        <v>5.14</v>
      </c>
      <c r="I99" s="28">
        <v>6.29</v>
      </c>
      <c r="J99" s="28">
        <v>4.25</v>
      </c>
      <c r="K99" s="28">
        <v>23.14</v>
      </c>
      <c r="L99" s="28">
        <v>17.35</v>
      </c>
      <c r="M99" s="28">
        <v>226.87</v>
      </c>
      <c r="N99" s="28">
        <v>166.4</v>
      </c>
      <c r="O99" s="40">
        <v>0.19</v>
      </c>
      <c r="P99" s="44">
        <v>0.16</v>
      </c>
      <c r="Q99" s="40">
        <v>0.26</v>
      </c>
      <c r="R99" s="44">
        <v>0.2</v>
      </c>
      <c r="S99" s="40">
        <v>0</v>
      </c>
      <c r="T99" s="44">
        <v>0</v>
      </c>
      <c r="U99" s="40">
        <v>229.72</v>
      </c>
      <c r="V99" s="44">
        <f>U99*150/200</f>
        <v>172.29</v>
      </c>
      <c r="W99" s="40">
        <v>2.6</v>
      </c>
      <c r="X99" s="44">
        <f>W99*150/200</f>
        <v>1.95</v>
      </c>
      <c r="Z99" s="52"/>
      <c r="AA99" s="52"/>
      <c r="AB99" s="52"/>
      <c r="AC99" s="52"/>
      <c r="AD99" s="52"/>
      <c r="AE99" s="52"/>
    </row>
    <row r="100" spans="1:31" ht="15" customHeight="1">
      <c r="A100" s="115" t="s">
        <v>30</v>
      </c>
      <c r="B100" s="23" t="s">
        <v>31</v>
      </c>
      <c r="C100" s="43" t="s">
        <v>29</v>
      </c>
      <c r="D100" s="43" t="s">
        <v>6</v>
      </c>
      <c r="E100" s="28">
        <v>6.12</v>
      </c>
      <c r="F100" s="28">
        <v>5.1</v>
      </c>
      <c r="G100" s="40">
        <v>2.95</v>
      </c>
      <c r="H100" s="40">
        <v>2.46</v>
      </c>
      <c r="I100" s="40">
        <v>3.24</v>
      </c>
      <c r="J100" s="40">
        <v>2.7</v>
      </c>
      <c r="K100" s="40">
        <v>22.82</v>
      </c>
      <c r="L100" s="40">
        <v>19.02</v>
      </c>
      <c r="M100" s="40">
        <v>132.26</v>
      </c>
      <c r="N100" s="29">
        <v>110.22</v>
      </c>
      <c r="O100" s="40">
        <f>P100*180/150</f>
        <v>0.024</v>
      </c>
      <c r="P100" s="44">
        <v>0.02</v>
      </c>
      <c r="Q100" s="40">
        <f>R100*180/150</f>
        <v>0.12</v>
      </c>
      <c r="R100" s="44">
        <v>0.1</v>
      </c>
      <c r="S100" s="40">
        <v>1.43</v>
      </c>
      <c r="T100" s="44">
        <v>1.2</v>
      </c>
      <c r="U100" s="40">
        <f>V100*180/150</f>
        <v>109.58399999999999</v>
      </c>
      <c r="V100" s="44">
        <v>91.32</v>
      </c>
      <c r="W100" s="40">
        <f>X100*180/150</f>
        <v>0.36</v>
      </c>
      <c r="X100" s="44">
        <v>0.3</v>
      </c>
      <c r="Y100" s="52"/>
      <c r="Z100" s="52"/>
      <c r="AA100" s="52"/>
      <c r="AB100" s="52"/>
      <c r="AC100" s="52"/>
      <c r="AD100" s="52"/>
      <c r="AE100" s="52"/>
    </row>
    <row r="101" spans="1:32" ht="15" customHeight="1">
      <c r="A101" s="22"/>
      <c r="B101" s="23" t="s">
        <v>7</v>
      </c>
      <c r="C101" s="43"/>
      <c r="D101" s="43"/>
      <c r="E101" s="17">
        <f>SUM(E98:E100)</f>
        <v>26.48</v>
      </c>
      <c r="F101" s="17">
        <f aca="true" t="shared" si="24" ref="F101:T101">SUM(F98:F100)</f>
        <v>22.78</v>
      </c>
      <c r="G101" s="17">
        <f t="shared" si="24"/>
        <v>12.740000000000002</v>
      </c>
      <c r="H101" s="17">
        <f t="shared" si="24"/>
        <v>10.530000000000001</v>
      </c>
      <c r="I101" s="17">
        <f t="shared" si="24"/>
        <v>15.58</v>
      </c>
      <c r="J101" s="17">
        <f t="shared" si="24"/>
        <v>13</v>
      </c>
      <c r="K101" s="17">
        <f t="shared" si="24"/>
        <v>56.36</v>
      </c>
      <c r="L101" s="17">
        <f t="shared" si="24"/>
        <v>46.769999999999996</v>
      </c>
      <c r="M101" s="17">
        <f t="shared" si="24"/>
        <v>466.9</v>
      </c>
      <c r="N101" s="17">
        <f t="shared" si="24"/>
        <v>384.39</v>
      </c>
      <c r="O101" s="17">
        <f t="shared" si="24"/>
        <v>0.29400000000000004</v>
      </c>
      <c r="P101" s="17">
        <f t="shared" si="24"/>
        <v>0.23333333333333334</v>
      </c>
      <c r="Q101" s="17">
        <f t="shared" si="24"/>
        <v>0.44</v>
      </c>
      <c r="R101" s="17">
        <f t="shared" si="24"/>
        <v>0.34</v>
      </c>
      <c r="S101" s="17">
        <f t="shared" si="24"/>
        <v>1.5699999999999998</v>
      </c>
      <c r="T101" s="17">
        <f t="shared" si="24"/>
        <v>1.3399999999999999</v>
      </c>
      <c r="U101" s="17">
        <f aca="true" t="shared" si="25" ref="U101:AB101">SUM(U98:U100)</f>
        <v>410.104</v>
      </c>
      <c r="V101" s="17">
        <f t="shared" si="25"/>
        <v>310.81</v>
      </c>
      <c r="W101" s="17">
        <f t="shared" si="25"/>
        <v>3.77</v>
      </c>
      <c r="X101" s="17">
        <f t="shared" si="25"/>
        <v>2.79</v>
      </c>
      <c r="Y101" s="17">
        <f t="shared" si="25"/>
        <v>0</v>
      </c>
      <c r="Z101" s="17">
        <f t="shared" si="25"/>
        <v>0</v>
      </c>
      <c r="AA101" s="17">
        <f t="shared" si="25"/>
        <v>0</v>
      </c>
      <c r="AB101" s="17">
        <f t="shared" si="25"/>
        <v>0</v>
      </c>
      <c r="AC101" s="57"/>
      <c r="AD101" s="57"/>
      <c r="AE101" s="57"/>
      <c r="AF101" s="57"/>
    </row>
    <row r="102" spans="1:32" ht="15" customHeight="1">
      <c r="A102" s="22"/>
      <c r="B102" s="88" t="s">
        <v>16</v>
      </c>
      <c r="C102" s="43"/>
      <c r="D102" s="43"/>
      <c r="E102" s="28"/>
      <c r="F102" s="28"/>
      <c r="G102" s="28"/>
      <c r="H102" s="29"/>
      <c r="I102" s="29"/>
      <c r="J102" s="29"/>
      <c r="K102" s="29"/>
      <c r="L102" s="29"/>
      <c r="M102" s="29"/>
      <c r="N102" s="29"/>
      <c r="O102" s="41"/>
      <c r="P102" s="41"/>
      <c r="Q102" s="41"/>
      <c r="R102" s="41"/>
      <c r="S102" s="41"/>
      <c r="T102" s="41"/>
      <c r="U102" s="41"/>
      <c r="V102" s="41"/>
      <c r="W102" s="41"/>
      <c r="X102" s="74"/>
      <c r="Y102" s="53"/>
      <c r="Z102" s="52"/>
      <c r="AA102" s="52"/>
      <c r="AB102" s="52"/>
      <c r="AC102" s="52"/>
      <c r="AD102" s="52"/>
      <c r="AE102" s="52"/>
      <c r="AF102" s="52"/>
    </row>
    <row r="103" spans="1:30" ht="15" customHeight="1">
      <c r="A103" s="22" t="s">
        <v>23</v>
      </c>
      <c r="B103" s="23" t="s">
        <v>127</v>
      </c>
      <c r="C103" s="43" t="s">
        <v>167</v>
      </c>
      <c r="D103" s="43" t="s">
        <v>99</v>
      </c>
      <c r="E103" s="28">
        <v>12.33</v>
      </c>
      <c r="F103" s="28">
        <v>11.14</v>
      </c>
      <c r="G103" s="28">
        <v>3.56</v>
      </c>
      <c r="H103" s="141">
        <f>G103*140/155</f>
        <v>3.2154838709677422</v>
      </c>
      <c r="I103" s="28">
        <v>5.19</v>
      </c>
      <c r="J103" s="141">
        <f>I103*140/155</f>
        <v>4.687741935483871</v>
      </c>
      <c r="K103" s="28">
        <v>5.77</v>
      </c>
      <c r="L103" s="141">
        <f>K103*140/155</f>
        <v>5.211612903225806</v>
      </c>
      <c r="M103" s="28">
        <v>75.05</v>
      </c>
      <c r="N103" s="141">
        <f>M103*140/155</f>
        <v>67.78709677419354</v>
      </c>
      <c r="O103" s="28">
        <v>0.06</v>
      </c>
      <c r="P103" s="29">
        <f>O103*150/180</f>
        <v>0.05</v>
      </c>
      <c r="Q103" s="28">
        <v>0.25</v>
      </c>
      <c r="R103" s="29">
        <f>Q103*150/180</f>
        <v>0.20833333333333334</v>
      </c>
      <c r="S103" s="28">
        <v>1.13</v>
      </c>
      <c r="T103" s="141">
        <f>S103*140/155</f>
        <v>1.0206451612903225</v>
      </c>
      <c r="U103" s="28">
        <v>235.31</v>
      </c>
      <c r="V103" s="29">
        <f>U103*150/180</f>
        <v>196.09166666666667</v>
      </c>
      <c r="W103" s="28">
        <v>0.19</v>
      </c>
      <c r="X103" s="73">
        <f>W103*150/180</f>
        <v>0.15833333333333333</v>
      </c>
      <c r="Y103" s="58"/>
      <c r="Z103" s="56"/>
      <c r="AA103" s="56"/>
      <c r="AB103" s="56"/>
      <c r="AC103" s="56"/>
      <c r="AD103" s="56"/>
    </row>
    <row r="104" spans="1:31" ht="15" customHeight="1">
      <c r="A104" s="22"/>
      <c r="B104" s="23" t="s">
        <v>7</v>
      </c>
      <c r="C104" s="43"/>
      <c r="D104" s="43"/>
      <c r="E104" s="17">
        <f>SUM(E103)</f>
        <v>12.33</v>
      </c>
      <c r="F104" s="17">
        <f aca="true" t="shared" si="26" ref="F104:T104">SUM(F103)</f>
        <v>11.14</v>
      </c>
      <c r="G104" s="17">
        <f t="shared" si="26"/>
        <v>3.56</v>
      </c>
      <c r="H104" s="17">
        <f t="shared" si="26"/>
        <v>3.2154838709677422</v>
      </c>
      <c r="I104" s="17">
        <f t="shared" si="26"/>
        <v>5.19</v>
      </c>
      <c r="J104" s="17">
        <f t="shared" si="26"/>
        <v>4.687741935483871</v>
      </c>
      <c r="K104" s="17">
        <f t="shared" si="26"/>
        <v>5.77</v>
      </c>
      <c r="L104" s="17">
        <f t="shared" si="26"/>
        <v>5.211612903225806</v>
      </c>
      <c r="M104" s="17">
        <f t="shared" si="26"/>
        <v>75.05</v>
      </c>
      <c r="N104" s="17">
        <f t="shared" si="26"/>
        <v>67.78709677419354</v>
      </c>
      <c r="O104" s="17">
        <f t="shared" si="26"/>
        <v>0.06</v>
      </c>
      <c r="P104" s="17">
        <f t="shared" si="26"/>
        <v>0.05</v>
      </c>
      <c r="Q104" s="17">
        <f t="shared" si="26"/>
        <v>0.25</v>
      </c>
      <c r="R104" s="17">
        <f t="shared" si="26"/>
        <v>0.20833333333333334</v>
      </c>
      <c r="S104" s="17">
        <f t="shared" si="26"/>
        <v>1.13</v>
      </c>
      <c r="T104" s="17">
        <f t="shared" si="26"/>
        <v>1.0206451612903225</v>
      </c>
      <c r="U104" s="17">
        <f>SUM(U103)</f>
        <v>235.31</v>
      </c>
      <c r="V104" s="17">
        <f>SUM(V103)</f>
        <v>196.09166666666667</v>
      </c>
      <c r="W104" s="17">
        <f>SUM(W103)</f>
        <v>0.19</v>
      </c>
      <c r="X104" s="17">
        <f>SUM(X103)</f>
        <v>0.15833333333333333</v>
      </c>
      <c r="Y104" s="71">
        <f>SUM(Y103)</f>
        <v>0</v>
      </c>
      <c r="Z104" s="57"/>
      <c r="AA104" s="57"/>
      <c r="AB104" s="57"/>
      <c r="AC104" s="57"/>
      <c r="AD104" s="52"/>
      <c r="AE104" s="52"/>
    </row>
    <row r="105" spans="1:31" ht="15" customHeight="1">
      <c r="A105" s="22"/>
      <c r="B105" s="88" t="s">
        <v>9</v>
      </c>
      <c r="C105" s="43"/>
      <c r="D105" s="43"/>
      <c r="E105" s="28"/>
      <c r="F105" s="28"/>
      <c r="G105" s="28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73"/>
      <c r="Y105" s="53"/>
      <c r="Z105" s="52"/>
      <c r="AA105" s="52"/>
      <c r="AB105" s="52"/>
      <c r="AC105" s="52"/>
      <c r="AD105" s="52"/>
      <c r="AE105" s="52"/>
    </row>
    <row r="106" spans="1:24" ht="15.75" customHeight="1">
      <c r="A106" s="22" t="s">
        <v>116</v>
      </c>
      <c r="B106" s="23" t="s">
        <v>145</v>
      </c>
      <c r="C106" s="43" t="s">
        <v>146</v>
      </c>
      <c r="D106" s="43" t="s">
        <v>147</v>
      </c>
      <c r="E106" s="28">
        <v>3.01</v>
      </c>
      <c r="F106" s="28">
        <v>2.38</v>
      </c>
      <c r="G106" s="28">
        <v>0.84</v>
      </c>
      <c r="H106" s="29">
        <f>G106*45/60</f>
        <v>0.63</v>
      </c>
      <c r="I106" s="29">
        <v>6.07</v>
      </c>
      <c r="J106" s="29">
        <f>I106*45/60</f>
        <v>4.5525</v>
      </c>
      <c r="K106" s="29">
        <v>4.08</v>
      </c>
      <c r="L106" s="29">
        <f>K106*45/60</f>
        <v>3.06</v>
      </c>
      <c r="M106" s="29">
        <v>74.4</v>
      </c>
      <c r="N106" s="29">
        <f>M106*45/60</f>
        <v>55.800000000000004</v>
      </c>
      <c r="O106" s="40">
        <v>0.04</v>
      </c>
      <c r="P106" s="44">
        <v>0.03</v>
      </c>
      <c r="Q106" s="40">
        <v>0.02</v>
      </c>
      <c r="R106" s="44">
        <v>0.02</v>
      </c>
      <c r="S106" s="40">
        <v>9.72</v>
      </c>
      <c r="T106" s="29">
        <f>S106*45/60</f>
        <v>7.290000000000001</v>
      </c>
      <c r="U106" s="40">
        <v>13.18</v>
      </c>
      <c r="V106" s="44">
        <v>9.89</v>
      </c>
      <c r="W106" s="40">
        <v>0.62</v>
      </c>
      <c r="X106" s="44">
        <v>0.47</v>
      </c>
    </row>
    <row r="107" spans="1:31" ht="25.5" customHeight="1">
      <c r="A107" s="116" t="s">
        <v>113</v>
      </c>
      <c r="B107" s="129" t="s">
        <v>114</v>
      </c>
      <c r="C107" s="101">
        <v>200</v>
      </c>
      <c r="D107" s="101">
        <v>150</v>
      </c>
      <c r="E107" s="60">
        <v>3.69</v>
      </c>
      <c r="F107" s="60">
        <v>2.77</v>
      </c>
      <c r="G107" s="65">
        <v>1.98</v>
      </c>
      <c r="H107" s="65">
        <v>1.48</v>
      </c>
      <c r="I107" s="65">
        <v>2.42</v>
      </c>
      <c r="J107" s="65">
        <v>1.81</v>
      </c>
      <c r="K107" s="65">
        <v>13.68</v>
      </c>
      <c r="L107" s="65">
        <v>10.26</v>
      </c>
      <c r="M107" s="65">
        <v>84.42</v>
      </c>
      <c r="N107" s="108">
        <v>63.25</v>
      </c>
      <c r="O107" s="124">
        <v>0.11</v>
      </c>
      <c r="P107" s="124">
        <v>0.09</v>
      </c>
      <c r="Q107" s="124">
        <v>0.05</v>
      </c>
      <c r="R107" s="124">
        <v>0.04</v>
      </c>
      <c r="S107" s="124">
        <v>6.6</v>
      </c>
      <c r="T107" s="130">
        <v>4.9</v>
      </c>
      <c r="U107" s="130">
        <v>18.44</v>
      </c>
      <c r="V107" s="130">
        <v>13.83</v>
      </c>
      <c r="W107" s="130">
        <v>0.36</v>
      </c>
      <c r="X107" s="130">
        <v>0.24</v>
      </c>
      <c r="Z107" s="52"/>
      <c r="AA107" s="52"/>
      <c r="AB107" s="52"/>
      <c r="AC107" s="52"/>
      <c r="AD107" s="52"/>
      <c r="AE107" s="52"/>
    </row>
    <row r="108" spans="1:24" ht="15" customHeight="1">
      <c r="A108" s="115" t="s">
        <v>121</v>
      </c>
      <c r="B108" s="23" t="s">
        <v>122</v>
      </c>
      <c r="C108" s="43" t="s">
        <v>66</v>
      </c>
      <c r="D108" s="140" t="s">
        <v>123</v>
      </c>
      <c r="E108" s="28">
        <v>41.73</v>
      </c>
      <c r="F108" s="125">
        <v>40.38</v>
      </c>
      <c r="G108" s="28">
        <v>12.13</v>
      </c>
      <c r="H108" s="29">
        <v>11.98</v>
      </c>
      <c r="I108" s="28">
        <v>19.63</v>
      </c>
      <c r="J108" s="29">
        <v>15.43</v>
      </c>
      <c r="K108" s="28">
        <v>18.9</v>
      </c>
      <c r="L108" s="29">
        <v>16.34</v>
      </c>
      <c r="M108" s="28">
        <v>304.9</v>
      </c>
      <c r="N108" s="29">
        <v>270.13</v>
      </c>
      <c r="O108" s="29">
        <v>0.2</v>
      </c>
      <c r="P108" s="29">
        <v>0.15</v>
      </c>
      <c r="Q108" s="29">
        <v>0.18</v>
      </c>
      <c r="R108" s="29">
        <v>0.11</v>
      </c>
      <c r="S108" s="29">
        <v>19.1</v>
      </c>
      <c r="T108" s="29">
        <v>16.6</v>
      </c>
      <c r="U108" s="29">
        <v>116.61</v>
      </c>
      <c r="V108" s="29">
        <v>91.87</v>
      </c>
      <c r="W108" s="29">
        <v>4.5</v>
      </c>
      <c r="X108" s="29">
        <v>3.19</v>
      </c>
    </row>
    <row r="109" spans="1:31" ht="27" customHeight="1">
      <c r="A109" s="117" t="s">
        <v>82</v>
      </c>
      <c r="B109" s="105" t="s">
        <v>77</v>
      </c>
      <c r="C109" s="101">
        <v>200</v>
      </c>
      <c r="D109" s="101">
        <v>150</v>
      </c>
      <c r="E109" s="60">
        <v>1.64</v>
      </c>
      <c r="F109" s="60">
        <v>1.23</v>
      </c>
      <c r="G109" s="60">
        <v>0.6</v>
      </c>
      <c r="H109" s="61">
        <f>G109*150/200</f>
        <v>0.45</v>
      </c>
      <c r="I109" s="60">
        <v>0</v>
      </c>
      <c r="J109" s="61">
        <f>I109*150/200</f>
        <v>0</v>
      </c>
      <c r="K109" s="60">
        <v>31.4</v>
      </c>
      <c r="L109" s="61">
        <f>K109*150/200</f>
        <v>23.55</v>
      </c>
      <c r="M109" s="60">
        <v>124</v>
      </c>
      <c r="N109" s="61">
        <f>M109*150/200</f>
        <v>93</v>
      </c>
      <c r="O109" s="61">
        <v>0.02</v>
      </c>
      <c r="P109" s="61">
        <f>O109*150/200</f>
        <v>0.015</v>
      </c>
      <c r="Q109" s="61">
        <v>0.03</v>
      </c>
      <c r="R109" s="61">
        <f>Q109*150/200</f>
        <v>0.0225</v>
      </c>
      <c r="S109" s="61">
        <v>0.45</v>
      </c>
      <c r="T109" s="61">
        <f>S109*150/200</f>
        <v>0.3375</v>
      </c>
      <c r="U109" s="61">
        <v>12.3</v>
      </c>
      <c r="V109" s="61">
        <f>U109*150/200</f>
        <v>9.225</v>
      </c>
      <c r="W109" s="69">
        <v>2</v>
      </c>
      <c r="X109" s="80">
        <f>W109*150/200</f>
        <v>1.5</v>
      </c>
      <c r="Y109" s="52"/>
      <c r="Z109" s="52"/>
      <c r="AA109" s="52"/>
      <c r="AB109" s="52"/>
      <c r="AC109" s="52"/>
      <c r="AD109" s="52"/>
      <c r="AE109" s="52"/>
    </row>
    <row r="110" spans="1:31" s="16" customFormat="1" ht="15" customHeight="1">
      <c r="A110" s="115"/>
      <c r="B110" s="23" t="s">
        <v>11</v>
      </c>
      <c r="C110" s="43" t="s">
        <v>14</v>
      </c>
      <c r="D110" s="43" t="s">
        <v>14</v>
      </c>
      <c r="E110" s="28">
        <v>1.22</v>
      </c>
      <c r="F110" s="28">
        <v>1.22</v>
      </c>
      <c r="G110" s="28">
        <v>1.6</v>
      </c>
      <c r="H110" s="28">
        <v>1.6</v>
      </c>
      <c r="I110" s="28">
        <v>0.4</v>
      </c>
      <c r="J110" s="28">
        <v>0.4</v>
      </c>
      <c r="K110" s="28">
        <v>10</v>
      </c>
      <c r="L110" s="28">
        <v>10</v>
      </c>
      <c r="M110" s="29">
        <v>54</v>
      </c>
      <c r="N110" s="29">
        <v>54</v>
      </c>
      <c r="O110" s="42">
        <v>0.04</v>
      </c>
      <c r="P110" s="46">
        <v>0.04</v>
      </c>
      <c r="Q110" s="42">
        <v>0.02</v>
      </c>
      <c r="R110" s="46">
        <v>0.02</v>
      </c>
      <c r="S110" s="42">
        <v>0</v>
      </c>
      <c r="T110" s="46">
        <v>0</v>
      </c>
      <c r="U110" s="42">
        <v>7.4</v>
      </c>
      <c r="V110" s="46">
        <v>7.4</v>
      </c>
      <c r="W110" s="42">
        <v>0.56</v>
      </c>
      <c r="X110" s="46">
        <v>0.56</v>
      </c>
      <c r="Y110" s="55"/>
      <c r="Z110" s="55"/>
      <c r="AA110" s="55"/>
      <c r="AB110" s="55"/>
      <c r="AC110" s="55"/>
      <c r="AD110" s="55"/>
      <c r="AE110" s="55"/>
    </row>
    <row r="111" spans="1:31" ht="15" customHeight="1">
      <c r="A111" s="115"/>
      <c r="B111" s="23" t="s">
        <v>45</v>
      </c>
      <c r="C111" s="43" t="s">
        <v>68</v>
      </c>
      <c r="D111" s="43" t="s">
        <v>69</v>
      </c>
      <c r="E111" s="28">
        <v>2.3</v>
      </c>
      <c r="F111" s="28">
        <v>2.01</v>
      </c>
      <c r="G111" s="28">
        <v>3.25</v>
      </c>
      <c r="H111" s="29">
        <v>2.84</v>
      </c>
      <c r="I111" s="29">
        <v>0.46</v>
      </c>
      <c r="J111" s="29">
        <f>I111*40.6/46</f>
        <v>0.406</v>
      </c>
      <c r="K111" s="29">
        <v>20.88</v>
      </c>
      <c r="L111" s="29">
        <v>18.27</v>
      </c>
      <c r="M111" s="29">
        <v>102.08</v>
      </c>
      <c r="N111" s="29">
        <v>89.32</v>
      </c>
      <c r="O111" s="40">
        <v>0.06</v>
      </c>
      <c r="P111" s="44">
        <v>0.04</v>
      </c>
      <c r="Q111" s="40">
        <v>0.04</v>
      </c>
      <c r="R111" s="44">
        <v>0.03</v>
      </c>
      <c r="S111" s="40">
        <v>0</v>
      </c>
      <c r="T111" s="29">
        <f>S111*40.6/46</f>
        <v>0</v>
      </c>
      <c r="U111" s="42">
        <v>17</v>
      </c>
      <c r="V111" s="46">
        <v>13.6</v>
      </c>
      <c r="W111" s="42">
        <v>1.15</v>
      </c>
      <c r="X111" s="46">
        <v>0.92</v>
      </c>
      <c r="Y111" s="52"/>
      <c r="Z111" s="52"/>
      <c r="AA111" s="52"/>
      <c r="AB111" s="52"/>
      <c r="AC111" s="52"/>
      <c r="AD111" s="52"/>
      <c r="AE111" s="52"/>
    </row>
    <row r="112" spans="1:31" ht="15" customHeight="1">
      <c r="A112" s="22"/>
      <c r="B112" s="23" t="s">
        <v>7</v>
      </c>
      <c r="C112" s="43"/>
      <c r="D112" s="43"/>
      <c r="E112" s="17">
        <f>SUM(E106:E111)</f>
        <v>53.58999999999999</v>
      </c>
      <c r="F112" s="17">
        <f aca="true" t="shared" si="27" ref="F112:R112">SUM(F106:F111)</f>
        <v>49.989999999999995</v>
      </c>
      <c r="G112" s="17">
        <f t="shared" si="27"/>
        <v>20.400000000000002</v>
      </c>
      <c r="H112" s="17">
        <f t="shared" si="27"/>
        <v>18.98</v>
      </c>
      <c r="I112" s="17">
        <f>SUM(I106:I111)-5</f>
        <v>23.979999999999997</v>
      </c>
      <c r="J112" s="17">
        <f>SUM(J106:J111)-5</f>
        <v>17.598499999999998</v>
      </c>
      <c r="K112" s="17">
        <f>SUM(K106:K111)-15</f>
        <v>83.94</v>
      </c>
      <c r="L112" s="17">
        <f>SUM(L106:L111)-30</f>
        <v>51.480000000000004</v>
      </c>
      <c r="M112" s="17">
        <f>SUM(M106:M111)-200</f>
        <v>543.8000000000001</v>
      </c>
      <c r="N112" s="17">
        <f>SUM(N106:N111)-250</f>
        <v>375.5</v>
      </c>
      <c r="O112" s="17">
        <f t="shared" si="27"/>
        <v>0.47</v>
      </c>
      <c r="P112" s="17">
        <f t="shared" si="27"/>
        <v>0.365</v>
      </c>
      <c r="Q112" s="17">
        <f t="shared" si="27"/>
        <v>0.34</v>
      </c>
      <c r="R112" s="17">
        <f t="shared" si="27"/>
        <v>0.24249999999999997</v>
      </c>
      <c r="S112" s="17">
        <f>SUM(S106:S111)+15</f>
        <v>50.870000000000005</v>
      </c>
      <c r="T112" s="17">
        <f>SUM(T106:T111)-10</f>
        <v>19.1275</v>
      </c>
      <c r="U112" s="17">
        <f aca="true" t="shared" si="28" ref="U112:AB112">SUM(U106:U111)+8</f>
        <v>192.93</v>
      </c>
      <c r="V112" s="17">
        <f t="shared" si="28"/>
        <v>153.815</v>
      </c>
      <c r="W112" s="17">
        <f t="shared" si="28"/>
        <v>17.19</v>
      </c>
      <c r="X112" s="17">
        <f t="shared" si="28"/>
        <v>14.88</v>
      </c>
      <c r="Y112" s="17">
        <f t="shared" si="28"/>
        <v>8</v>
      </c>
      <c r="Z112" s="17">
        <f t="shared" si="28"/>
        <v>8</v>
      </c>
      <c r="AA112" s="17">
        <f t="shared" si="28"/>
        <v>8</v>
      </c>
      <c r="AB112" s="17">
        <f t="shared" si="28"/>
        <v>8</v>
      </c>
      <c r="AC112" s="57"/>
      <c r="AD112" s="52"/>
      <c r="AE112" s="52"/>
    </row>
    <row r="113" spans="1:31" ht="15" customHeight="1">
      <c r="A113" s="22"/>
      <c r="B113" s="88" t="s">
        <v>12</v>
      </c>
      <c r="C113" s="43"/>
      <c r="D113" s="43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41"/>
      <c r="P113" s="41"/>
      <c r="Q113" s="41"/>
      <c r="R113" s="41"/>
      <c r="S113" s="41"/>
      <c r="T113" s="41"/>
      <c r="U113" s="41"/>
      <c r="V113" s="41"/>
      <c r="W113" s="41"/>
      <c r="X113" s="74"/>
      <c r="Y113" s="53"/>
      <c r="Z113" s="52"/>
      <c r="AA113" s="52"/>
      <c r="AB113" s="52"/>
      <c r="AC113" s="52"/>
      <c r="AD113" s="52"/>
      <c r="AE113" s="52"/>
    </row>
    <row r="114" spans="1:31" ht="15" customHeight="1">
      <c r="A114" s="115" t="s">
        <v>21</v>
      </c>
      <c r="B114" s="23" t="s">
        <v>18</v>
      </c>
      <c r="C114" s="43" t="s">
        <v>5</v>
      </c>
      <c r="D114" s="43" t="s">
        <v>29</v>
      </c>
      <c r="E114" s="28">
        <v>11.51</v>
      </c>
      <c r="F114" s="28">
        <v>10.36</v>
      </c>
      <c r="G114" s="28">
        <f>H114*200/180</f>
        <v>5.9</v>
      </c>
      <c r="H114" s="29">
        <v>5.31</v>
      </c>
      <c r="I114" s="28">
        <f>J114*200/180</f>
        <v>5</v>
      </c>
      <c r="J114" s="29">
        <v>4.5</v>
      </c>
      <c r="K114" s="28">
        <f>L114*200/180</f>
        <v>9.9</v>
      </c>
      <c r="L114" s="29">
        <v>8.91</v>
      </c>
      <c r="M114" s="28">
        <f>N114*200/180</f>
        <v>108.2</v>
      </c>
      <c r="N114" s="29">
        <v>97.38</v>
      </c>
      <c r="O114" s="28">
        <v>0.07</v>
      </c>
      <c r="P114" s="29">
        <v>0.07</v>
      </c>
      <c r="Q114" s="28">
        <v>0.3</v>
      </c>
      <c r="R114" s="29">
        <v>0.3</v>
      </c>
      <c r="S114" s="28">
        <f>T114*200/180</f>
        <v>2.7333333333333334</v>
      </c>
      <c r="T114" s="29">
        <v>2.46</v>
      </c>
      <c r="U114" s="28">
        <v>275.74</v>
      </c>
      <c r="V114" s="29">
        <v>275.74</v>
      </c>
      <c r="W114" s="28">
        <v>0.23</v>
      </c>
      <c r="X114" s="29">
        <v>0.23</v>
      </c>
      <c r="Y114" s="56"/>
      <c r="Z114" s="56"/>
      <c r="AA114" s="56"/>
      <c r="AB114" s="56"/>
      <c r="AC114" s="56"/>
      <c r="AD114" s="56"/>
      <c r="AE114" s="52"/>
    </row>
    <row r="115" spans="1:31" s="8" customFormat="1" ht="15" customHeight="1">
      <c r="A115" s="59"/>
      <c r="B115" s="63" t="s">
        <v>7</v>
      </c>
      <c r="C115" s="64"/>
      <c r="D115" s="64"/>
      <c r="E115" s="78">
        <f>SUM(E114)</f>
        <v>11.51</v>
      </c>
      <c r="F115" s="78">
        <f aca="true" t="shared" si="29" ref="F115:T115">SUM(F114)</f>
        <v>10.36</v>
      </c>
      <c r="G115" s="78">
        <f t="shared" si="29"/>
        <v>5.9</v>
      </c>
      <c r="H115" s="78">
        <f t="shared" si="29"/>
        <v>5.31</v>
      </c>
      <c r="I115" s="78">
        <f t="shared" si="29"/>
        <v>5</v>
      </c>
      <c r="J115" s="78">
        <f t="shared" si="29"/>
        <v>4.5</v>
      </c>
      <c r="K115" s="78">
        <f t="shared" si="29"/>
        <v>9.9</v>
      </c>
      <c r="L115" s="78">
        <f t="shared" si="29"/>
        <v>8.91</v>
      </c>
      <c r="M115" s="78">
        <f t="shared" si="29"/>
        <v>108.2</v>
      </c>
      <c r="N115" s="78">
        <f t="shared" si="29"/>
        <v>97.38</v>
      </c>
      <c r="O115" s="78">
        <f t="shared" si="29"/>
        <v>0.07</v>
      </c>
      <c r="P115" s="78">
        <f t="shared" si="29"/>
        <v>0.07</v>
      </c>
      <c r="Q115" s="78">
        <f t="shared" si="29"/>
        <v>0.3</v>
      </c>
      <c r="R115" s="78">
        <f t="shared" si="29"/>
        <v>0.3</v>
      </c>
      <c r="S115" s="78">
        <f t="shared" si="29"/>
        <v>2.7333333333333334</v>
      </c>
      <c r="T115" s="78">
        <f t="shared" si="29"/>
        <v>2.46</v>
      </c>
      <c r="U115" s="78" t="e">
        <f>SUM(#REF!)</f>
        <v>#REF!</v>
      </c>
      <c r="V115" s="78" t="e">
        <f>SUM(#REF!)</f>
        <v>#REF!</v>
      </c>
      <c r="W115" s="78" t="e">
        <f>SUM(#REF!)</f>
        <v>#REF!</v>
      </c>
      <c r="X115" s="79" t="e">
        <f>SUM(#REF!)</f>
        <v>#REF!</v>
      </c>
      <c r="Y115" s="62"/>
      <c r="Z115" s="57"/>
      <c r="AA115" s="57"/>
      <c r="AB115" s="57"/>
      <c r="AC115" s="57"/>
      <c r="AD115" s="102"/>
      <c r="AE115" s="102"/>
    </row>
    <row r="116" spans="1:31" ht="15" customHeight="1">
      <c r="A116" s="22"/>
      <c r="B116" s="88" t="s">
        <v>13</v>
      </c>
      <c r="C116" s="43"/>
      <c r="D116" s="43"/>
      <c r="E116" s="28"/>
      <c r="F116" s="28"/>
      <c r="G116" s="28"/>
      <c r="H116" s="29"/>
      <c r="I116" s="29"/>
      <c r="J116" s="29"/>
      <c r="K116" s="29"/>
      <c r="L116" s="29"/>
      <c r="M116" s="29"/>
      <c r="N116" s="29"/>
      <c r="O116" s="41"/>
      <c r="P116" s="41"/>
      <c r="Q116" s="41"/>
      <c r="R116" s="41"/>
      <c r="S116" s="41"/>
      <c r="T116" s="41"/>
      <c r="U116" s="41"/>
      <c r="V116" s="41"/>
      <c r="W116" s="41"/>
      <c r="X116" s="74"/>
      <c r="Y116" s="53"/>
      <c r="Z116" s="52"/>
      <c r="AA116" s="52"/>
      <c r="AB116" s="52"/>
      <c r="AC116" s="52"/>
      <c r="AD116" s="52"/>
      <c r="AE116" s="52"/>
    </row>
    <row r="117" spans="1:31" s="16" customFormat="1" ht="25.5">
      <c r="A117" s="117" t="s">
        <v>124</v>
      </c>
      <c r="B117" s="63" t="s">
        <v>125</v>
      </c>
      <c r="C117" s="132" t="s">
        <v>102</v>
      </c>
      <c r="D117" s="132" t="s">
        <v>126</v>
      </c>
      <c r="E117" s="133">
        <v>49.31</v>
      </c>
      <c r="F117" s="133">
        <v>33.7</v>
      </c>
      <c r="G117" s="133">
        <v>20.23</v>
      </c>
      <c r="H117" s="134">
        <v>13.49</v>
      </c>
      <c r="I117" s="134">
        <v>20.25</v>
      </c>
      <c r="J117" s="134">
        <v>13.5</v>
      </c>
      <c r="K117" s="134">
        <v>23.4</v>
      </c>
      <c r="L117" s="134">
        <v>15.6</v>
      </c>
      <c r="M117" s="134">
        <v>356.77</v>
      </c>
      <c r="N117" s="134">
        <v>237.86</v>
      </c>
      <c r="O117" s="135">
        <v>0.14</v>
      </c>
      <c r="P117" s="135">
        <v>0.11</v>
      </c>
      <c r="Q117" s="134">
        <v>0.1</v>
      </c>
      <c r="R117" s="135">
        <v>0.07</v>
      </c>
      <c r="S117" s="135">
        <v>2.9</v>
      </c>
      <c r="T117" s="135">
        <v>1.9</v>
      </c>
      <c r="U117" s="136"/>
      <c r="V117" s="136"/>
      <c r="W117" s="136"/>
      <c r="X117" s="137"/>
      <c r="Y117" s="55"/>
      <c r="Z117" s="55"/>
      <c r="AA117" s="55"/>
      <c r="AB117" s="55"/>
      <c r="AC117" s="55"/>
      <c r="AD117" s="55"/>
      <c r="AE117" s="55"/>
    </row>
    <row r="118" spans="1:31" ht="27" customHeight="1">
      <c r="A118" s="116" t="s">
        <v>75</v>
      </c>
      <c r="B118" s="66" t="s">
        <v>162</v>
      </c>
      <c r="C118" s="64" t="s">
        <v>163</v>
      </c>
      <c r="D118" s="64" t="s">
        <v>164</v>
      </c>
      <c r="E118" s="60">
        <v>2.07</v>
      </c>
      <c r="F118" s="60"/>
      <c r="G118" s="60">
        <v>0.18</v>
      </c>
      <c r="H118" s="61">
        <v>0</v>
      </c>
      <c r="I118" s="60">
        <f>J118*200/150</f>
        <v>0</v>
      </c>
      <c r="J118" s="61">
        <v>0</v>
      </c>
      <c r="K118" s="60">
        <v>16.93</v>
      </c>
      <c r="L118" s="61">
        <v>0</v>
      </c>
      <c r="M118" s="60">
        <v>69.4</v>
      </c>
      <c r="N118" s="61">
        <v>0</v>
      </c>
      <c r="O118" s="60">
        <f>P118*200/150</f>
        <v>0.013333333333333334</v>
      </c>
      <c r="P118" s="61">
        <v>0.01</v>
      </c>
      <c r="Q118" s="60">
        <f>R118*200/150</f>
        <v>0.013333333333333334</v>
      </c>
      <c r="R118" s="61">
        <v>0.01</v>
      </c>
      <c r="S118" s="60">
        <v>0.04</v>
      </c>
      <c r="T118" s="68">
        <v>0</v>
      </c>
      <c r="U118" s="60">
        <f>V118*200/150</f>
        <v>5.053333333333334</v>
      </c>
      <c r="V118" s="68">
        <v>3.79</v>
      </c>
      <c r="W118" s="60">
        <f>X118*200/150</f>
        <v>0.84</v>
      </c>
      <c r="X118" s="109">
        <v>0.63</v>
      </c>
      <c r="Y118" s="52"/>
      <c r="Z118" s="52"/>
      <c r="AA118" s="52"/>
      <c r="AB118" s="52"/>
      <c r="AC118" s="52"/>
      <c r="AD118" s="52"/>
      <c r="AE118" s="52"/>
    </row>
    <row r="119" spans="1:31" ht="15" customHeight="1">
      <c r="A119" s="116" t="s">
        <v>75</v>
      </c>
      <c r="B119" s="66" t="s">
        <v>76</v>
      </c>
      <c r="C119" s="64" t="s">
        <v>164</v>
      </c>
      <c r="D119" s="64" t="s">
        <v>6</v>
      </c>
      <c r="E119" s="60"/>
      <c r="F119" s="60">
        <v>0.44</v>
      </c>
      <c r="G119" s="60">
        <v>0</v>
      </c>
      <c r="H119" s="61">
        <v>0.13</v>
      </c>
      <c r="I119" s="60">
        <f>J119*200/150</f>
        <v>0</v>
      </c>
      <c r="J119" s="61">
        <v>0</v>
      </c>
      <c r="K119" s="60">
        <v>0</v>
      </c>
      <c r="L119" s="61">
        <v>3.58</v>
      </c>
      <c r="M119" s="60">
        <v>0</v>
      </c>
      <c r="N119" s="61">
        <v>14.92</v>
      </c>
      <c r="O119" s="60">
        <f>P119*200/150</f>
        <v>0.013333333333333334</v>
      </c>
      <c r="P119" s="68">
        <v>0.01</v>
      </c>
      <c r="Q119" s="60">
        <f>R119*200/150</f>
        <v>0.013333333333333334</v>
      </c>
      <c r="R119" s="68">
        <v>0.01</v>
      </c>
      <c r="S119" s="60">
        <v>0</v>
      </c>
      <c r="T119" s="68">
        <v>0.03</v>
      </c>
      <c r="U119" s="60">
        <f>V119*200/150</f>
        <v>5.053333333333334</v>
      </c>
      <c r="V119" s="68">
        <v>3.79</v>
      </c>
      <c r="W119" s="60">
        <f>X119*200/150</f>
        <v>0.84</v>
      </c>
      <c r="X119" s="109">
        <v>0.63</v>
      </c>
      <c r="Y119" s="52"/>
      <c r="Z119" s="52"/>
      <c r="AA119" s="52"/>
      <c r="AB119" s="52"/>
      <c r="AC119" s="52"/>
      <c r="AD119" s="52"/>
      <c r="AE119" s="52"/>
    </row>
    <row r="120" spans="1:31" s="16" customFormat="1" ht="15" customHeight="1">
      <c r="A120" s="115"/>
      <c r="B120" s="23" t="s">
        <v>11</v>
      </c>
      <c r="C120" s="43" t="s">
        <v>14</v>
      </c>
      <c r="D120" s="43" t="s">
        <v>14</v>
      </c>
      <c r="E120" s="28">
        <v>1.22</v>
      </c>
      <c r="F120" s="28">
        <v>1.22</v>
      </c>
      <c r="G120" s="28">
        <v>1.6</v>
      </c>
      <c r="H120" s="28">
        <v>1.6</v>
      </c>
      <c r="I120" s="28">
        <v>0.4</v>
      </c>
      <c r="J120" s="28">
        <v>0.4</v>
      </c>
      <c r="K120" s="28">
        <v>10</v>
      </c>
      <c r="L120" s="28">
        <v>10</v>
      </c>
      <c r="M120" s="29">
        <v>54</v>
      </c>
      <c r="N120" s="29">
        <v>54</v>
      </c>
      <c r="O120" s="42">
        <v>0.04</v>
      </c>
      <c r="P120" s="46">
        <v>0.04</v>
      </c>
      <c r="Q120" s="42">
        <v>0.02</v>
      </c>
      <c r="R120" s="46">
        <v>0.02</v>
      </c>
      <c r="S120" s="42">
        <v>0</v>
      </c>
      <c r="T120" s="46">
        <v>0</v>
      </c>
      <c r="U120" s="42">
        <v>7.4</v>
      </c>
      <c r="V120" s="46">
        <v>7.4</v>
      </c>
      <c r="W120" s="42">
        <v>0.56</v>
      </c>
      <c r="X120" s="46">
        <v>0.56</v>
      </c>
      <c r="Y120" s="55"/>
      <c r="Z120" s="55"/>
      <c r="AA120" s="55"/>
      <c r="AB120" s="55"/>
      <c r="AC120" s="55"/>
      <c r="AD120" s="55"/>
      <c r="AE120" s="55"/>
    </row>
    <row r="121" spans="1:31" ht="15" customHeight="1">
      <c r="A121" s="22"/>
      <c r="B121" s="23" t="s">
        <v>7</v>
      </c>
      <c r="C121" s="43"/>
      <c r="D121" s="43"/>
      <c r="E121" s="17">
        <f>SUM(E117:E120)</f>
        <v>52.6</v>
      </c>
      <c r="F121" s="17">
        <f>SUM(F117:F120)</f>
        <v>35.36</v>
      </c>
      <c r="G121" s="17">
        <f aca="true" t="shared" si="30" ref="G121:T121">SUM(G117:G120)</f>
        <v>22.01</v>
      </c>
      <c r="H121" s="17">
        <f t="shared" si="30"/>
        <v>15.22</v>
      </c>
      <c r="I121" s="17">
        <f t="shared" si="30"/>
        <v>20.65</v>
      </c>
      <c r="J121" s="17">
        <f t="shared" si="30"/>
        <v>13.9</v>
      </c>
      <c r="K121" s="17">
        <f t="shared" si="30"/>
        <v>50.33</v>
      </c>
      <c r="L121" s="17">
        <f t="shared" si="30"/>
        <v>29.18</v>
      </c>
      <c r="M121" s="17">
        <f t="shared" si="30"/>
        <v>480.16999999999996</v>
      </c>
      <c r="N121" s="17">
        <f t="shared" si="30"/>
        <v>306.78</v>
      </c>
      <c r="O121" s="17">
        <f t="shared" si="30"/>
        <v>0.2066666666666667</v>
      </c>
      <c r="P121" s="17">
        <f t="shared" si="30"/>
        <v>0.17</v>
      </c>
      <c r="Q121" s="17">
        <f t="shared" si="30"/>
        <v>0.14666666666666667</v>
      </c>
      <c r="R121" s="17">
        <f t="shared" si="30"/>
        <v>0.11</v>
      </c>
      <c r="S121" s="17">
        <f t="shared" si="30"/>
        <v>2.94</v>
      </c>
      <c r="T121" s="17">
        <f t="shared" si="30"/>
        <v>1.93</v>
      </c>
      <c r="U121" s="17">
        <f>SUM(U117:U120)</f>
        <v>17.506666666666668</v>
      </c>
      <c r="V121" s="17">
        <f>SUM(V117:V120)</f>
        <v>14.98</v>
      </c>
      <c r="W121" s="17">
        <f>SUM(W117:W120)</f>
        <v>2.24</v>
      </c>
      <c r="X121" s="17">
        <f>SUM(X117:X120)</f>
        <v>1.82</v>
      </c>
      <c r="Y121" s="71">
        <f>SUM(Y117:Y120)</f>
        <v>0</v>
      </c>
      <c r="Z121" s="57"/>
      <c r="AA121" s="57"/>
      <c r="AB121" s="57"/>
      <c r="AC121" s="57"/>
      <c r="AD121" s="120"/>
      <c r="AE121" s="120"/>
    </row>
    <row r="122" spans="1:31" ht="15" customHeight="1">
      <c r="A122" s="22"/>
      <c r="B122" s="23" t="s">
        <v>15</v>
      </c>
      <c r="C122" s="43"/>
      <c r="D122" s="43"/>
      <c r="E122" s="17">
        <f>SUM(E121,E115,E112,E104,E101)</f>
        <v>156.51</v>
      </c>
      <c r="F122" s="17">
        <f aca="true" t="shared" si="31" ref="F122:T122">SUM(F121,F115,F112,F104,F101)</f>
        <v>129.63</v>
      </c>
      <c r="G122" s="17">
        <f t="shared" si="31"/>
        <v>64.61000000000001</v>
      </c>
      <c r="H122" s="17">
        <f t="shared" si="31"/>
        <v>53.25548387096775</v>
      </c>
      <c r="I122" s="17">
        <f t="shared" si="31"/>
        <v>70.39999999999999</v>
      </c>
      <c r="J122" s="17">
        <f t="shared" si="31"/>
        <v>53.686241935483864</v>
      </c>
      <c r="K122" s="17">
        <f t="shared" si="31"/>
        <v>206.3</v>
      </c>
      <c r="L122" s="17">
        <f t="shared" si="31"/>
        <v>141.55161290322582</v>
      </c>
      <c r="M122" s="17">
        <f t="shared" si="31"/>
        <v>1674.12</v>
      </c>
      <c r="N122" s="17">
        <f t="shared" si="31"/>
        <v>1231.8370967741935</v>
      </c>
      <c r="O122" s="17">
        <f t="shared" si="31"/>
        <v>1.1006666666666667</v>
      </c>
      <c r="P122" s="17">
        <f t="shared" si="31"/>
        <v>0.8883333333333334</v>
      </c>
      <c r="Q122" s="17">
        <f t="shared" si="31"/>
        <v>1.4766666666666666</v>
      </c>
      <c r="R122" s="17">
        <f t="shared" si="31"/>
        <v>1.2008333333333334</v>
      </c>
      <c r="S122" s="17">
        <f t="shared" si="31"/>
        <v>59.24333333333334</v>
      </c>
      <c r="T122" s="17">
        <f t="shared" si="31"/>
        <v>25.878145161290323</v>
      </c>
      <c r="U122" s="17" t="e">
        <f>U121+U115+U112+U104+U101</f>
        <v>#REF!</v>
      </c>
      <c r="V122" s="17" t="e">
        <f>V121+V115+V112+V104+V101</f>
        <v>#REF!</v>
      </c>
      <c r="W122" s="17" t="e">
        <f>W121+W115+W112+W104+W101</f>
        <v>#REF!</v>
      </c>
      <c r="X122" s="17" t="e">
        <f>X121+X115+X112+X104+X101</f>
        <v>#REF!</v>
      </c>
      <c r="Y122" s="71">
        <f>Y121+Y115+Y112+Y104+Y101</f>
        <v>8</v>
      </c>
      <c r="Z122" s="57"/>
      <c r="AA122" s="57"/>
      <c r="AB122" s="57"/>
      <c r="AC122" s="57"/>
      <c r="AD122" s="121"/>
      <c r="AE122" s="121"/>
    </row>
    <row r="123" spans="1:31" ht="15" customHeight="1">
      <c r="A123" s="27"/>
      <c r="B123" s="9"/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6"/>
      <c r="Y123" s="53"/>
      <c r="Z123" s="52"/>
      <c r="AA123" s="52"/>
      <c r="AB123" s="52"/>
      <c r="AC123" s="52"/>
      <c r="AD123" s="52"/>
      <c r="AE123" s="52"/>
    </row>
    <row r="124" spans="1:31" ht="15" customHeight="1">
      <c r="A124" s="27"/>
      <c r="B124" s="9"/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6"/>
      <c r="Y124" s="53"/>
      <c r="Z124" s="52"/>
      <c r="AA124" s="52"/>
      <c r="AB124" s="52"/>
      <c r="AC124" s="52"/>
      <c r="AD124" s="52"/>
      <c r="AE124" s="52"/>
    </row>
    <row r="125" spans="1:31" ht="15" customHeight="1">
      <c r="A125" s="27"/>
      <c r="B125" s="9"/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6"/>
      <c r="Y125" s="53"/>
      <c r="Z125" s="52"/>
      <c r="AA125" s="52"/>
      <c r="AB125" s="52"/>
      <c r="AC125" s="52"/>
      <c r="AD125" s="52"/>
      <c r="AE125" s="52"/>
    </row>
    <row r="126" spans="1:31" ht="15" customHeight="1">
      <c r="A126" s="27"/>
      <c r="B126" s="9"/>
      <c r="C126" s="10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6"/>
      <c r="Y126" s="53"/>
      <c r="Z126" s="52"/>
      <c r="AA126" s="52"/>
      <c r="AB126" s="52"/>
      <c r="AC126" s="52"/>
      <c r="AD126" s="52"/>
      <c r="AE126" s="52"/>
    </row>
    <row r="127" spans="1:31" ht="15" customHeight="1">
      <c r="A127" s="27"/>
      <c r="B127" s="9"/>
      <c r="C127" s="1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6"/>
      <c r="Y127" s="53"/>
      <c r="Z127" s="52"/>
      <c r="AA127" s="52"/>
      <c r="AB127" s="52"/>
      <c r="AC127" s="52"/>
      <c r="AD127" s="52"/>
      <c r="AE127" s="52"/>
    </row>
    <row r="128" spans="1:31" ht="15" customHeight="1">
      <c r="A128" s="27"/>
      <c r="B128" s="9"/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6"/>
      <c r="Y128" s="53"/>
      <c r="Z128" s="52"/>
      <c r="AA128" s="52"/>
      <c r="AB128" s="52"/>
      <c r="AC128" s="52"/>
      <c r="AD128" s="52"/>
      <c r="AE128" s="52"/>
    </row>
    <row r="129" spans="1:31" s="16" customFormat="1" ht="24" customHeight="1">
      <c r="A129" s="24"/>
      <c r="B129" s="152"/>
      <c r="C129" s="153"/>
      <c r="D129" s="154"/>
      <c r="E129" s="161" t="s">
        <v>0</v>
      </c>
      <c r="F129" s="162"/>
      <c r="G129" s="166" t="s">
        <v>34</v>
      </c>
      <c r="H129" s="166"/>
      <c r="I129" s="166"/>
      <c r="J129" s="166"/>
      <c r="K129" s="166"/>
      <c r="L129" s="166"/>
      <c r="M129" s="174" t="s">
        <v>35</v>
      </c>
      <c r="N129" s="174"/>
      <c r="O129" s="148" t="s">
        <v>36</v>
      </c>
      <c r="P129" s="148"/>
      <c r="Q129" s="148"/>
      <c r="R129" s="148"/>
      <c r="S129" s="148"/>
      <c r="T129" s="148"/>
      <c r="U129" s="167" t="s">
        <v>37</v>
      </c>
      <c r="V129" s="167"/>
      <c r="W129" s="167"/>
      <c r="X129" s="168"/>
      <c r="Y129" s="54"/>
      <c r="Z129" s="55"/>
      <c r="AA129" s="55"/>
      <c r="AB129" s="55"/>
      <c r="AC129" s="55"/>
      <c r="AD129" s="55"/>
      <c r="AE129" s="55"/>
    </row>
    <row r="130" spans="1:31" s="16" customFormat="1" ht="15" customHeight="1">
      <c r="A130" s="24"/>
      <c r="B130" s="155"/>
      <c r="C130" s="156"/>
      <c r="D130" s="157"/>
      <c r="E130" s="163"/>
      <c r="F130" s="164"/>
      <c r="G130" s="165" t="s">
        <v>1</v>
      </c>
      <c r="H130" s="165"/>
      <c r="I130" s="165" t="s">
        <v>2</v>
      </c>
      <c r="J130" s="165"/>
      <c r="K130" s="165" t="s">
        <v>3</v>
      </c>
      <c r="L130" s="165"/>
      <c r="M130" s="174"/>
      <c r="N130" s="174"/>
      <c r="O130" s="147" t="s">
        <v>59</v>
      </c>
      <c r="P130" s="147"/>
      <c r="Q130" s="147" t="s">
        <v>44</v>
      </c>
      <c r="R130" s="147"/>
      <c r="S130" s="147" t="s">
        <v>38</v>
      </c>
      <c r="T130" s="147"/>
      <c r="U130" s="147" t="s">
        <v>39</v>
      </c>
      <c r="V130" s="147"/>
      <c r="W130" s="147" t="s">
        <v>40</v>
      </c>
      <c r="X130" s="169"/>
      <c r="Y130" s="54"/>
      <c r="Z130" s="55"/>
      <c r="AA130" s="55"/>
      <c r="AB130" s="55"/>
      <c r="AC130" s="55"/>
      <c r="AD130" s="55"/>
      <c r="AE130" s="55"/>
    </row>
    <row r="131" spans="1:31" s="16" customFormat="1" ht="15" customHeight="1">
      <c r="A131" s="24"/>
      <c r="B131" s="158"/>
      <c r="C131" s="159"/>
      <c r="D131" s="160"/>
      <c r="E131" s="90" t="s">
        <v>19</v>
      </c>
      <c r="F131" s="90" t="s">
        <v>20</v>
      </c>
      <c r="G131" s="90" t="s">
        <v>19</v>
      </c>
      <c r="H131" s="90" t="s">
        <v>20</v>
      </c>
      <c r="I131" s="90" t="s">
        <v>19</v>
      </c>
      <c r="J131" s="90" t="s">
        <v>20</v>
      </c>
      <c r="K131" s="90" t="s">
        <v>19</v>
      </c>
      <c r="L131" s="90" t="s">
        <v>20</v>
      </c>
      <c r="M131" s="90" t="s">
        <v>19</v>
      </c>
      <c r="N131" s="90" t="s">
        <v>20</v>
      </c>
      <c r="O131" s="90" t="s">
        <v>19</v>
      </c>
      <c r="P131" s="90" t="s">
        <v>20</v>
      </c>
      <c r="Q131" s="90" t="s">
        <v>19</v>
      </c>
      <c r="R131" s="90" t="s">
        <v>20</v>
      </c>
      <c r="S131" s="90" t="s">
        <v>19</v>
      </c>
      <c r="T131" s="90" t="s">
        <v>20</v>
      </c>
      <c r="U131" s="90" t="s">
        <v>19</v>
      </c>
      <c r="V131" s="90" t="s">
        <v>20</v>
      </c>
      <c r="W131" s="90" t="s">
        <v>19</v>
      </c>
      <c r="X131" s="82" t="s">
        <v>20</v>
      </c>
      <c r="Y131" s="54"/>
      <c r="Z131" s="55"/>
      <c r="AA131" s="55"/>
      <c r="AB131" s="55"/>
      <c r="AC131" s="55"/>
      <c r="AD131" s="55"/>
      <c r="AE131" s="55"/>
    </row>
    <row r="132" spans="1:31" s="85" customFormat="1" ht="15" customHeight="1">
      <c r="A132" s="24"/>
      <c r="B132" s="176" t="s">
        <v>42</v>
      </c>
      <c r="C132" s="177"/>
      <c r="D132" s="178"/>
      <c r="E132" s="29">
        <f>E122+E95+E66+E40</f>
        <v>507.4599999999999</v>
      </c>
      <c r="F132" s="29">
        <f>F122+F95+F66+F40</f>
        <v>448.30999999999995</v>
      </c>
      <c r="G132" s="29">
        <f>G122-53+G95+G66+G40</f>
        <v>215.86031994554116</v>
      </c>
      <c r="H132" s="29">
        <f>H122-42+H95+H66-25+H40</f>
        <v>167.39048387096773</v>
      </c>
      <c r="I132" s="29">
        <f>I122-0+I95+I66+I40</f>
        <v>254.14615384615382</v>
      </c>
      <c r="J132" s="29">
        <f>J122-18+J95+J66+J40</f>
        <v>192.37174193548387</v>
      </c>
      <c r="K132" s="91">
        <f>K122+K95+K66+K40</f>
        <v>1035.787059223962</v>
      </c>
      <c r="L132" s="91">
        <f>L122+L95+L66+L40</f>
        <v>850.4344462365591</v>
      </c>
      <c r="M132" s="91">
        <f>M122+M95+M66+M40</f>
        <v>7274.540102110278</v>
      </c>
      <c r="N132" s="91">
        <f>N122+N95+N66+N40</f>
        <v>5849.4099301075275</v>
      </c>
      <c r="O132" s="29" t="e">
        <f>#REF!+O122+O95+O66+O40</f>
        <v>#REF!</v>
      </c>
      <c r="P132" s="29" t="e">
        <f>#REF!+P122+P95+P66+P40</f>
        <v>#REF!</v>
      </c>
      <c r="Q132" s="29" t="e">
        <f>#REF!+Q122+Q95+Q66+Q40</f>
        <v>#REF!</v>
      </c>
      <c r="R132" s="29" t="e">
        <f>#REF!+R122+R95+R66+R40</f>
        <v>#REF!</v>
      </c>
      <c r="S132" s="29">
        <f>S122-70+S95+S66+S40</f>
        <v>207.68530383480825</v>
      </c>
      <c r="T132" s="29">
        <f>T122-35+T95+T66+T40</f>
        <v>183.58714516129032</v>
      </c>
      <c r="U132" s="91" t="e">
        <f>#REF!+U122+U95+U66+U40</f>
        <v>#REF!</v>
      </c>
      <c r="V132" s="91" t="e">
        <f>#REF!+V122+V95+V66+V40</f>
        <v>#REF!</v>
      </c>
      <c r="W132" s="29" t="e">
        <f>#REF!+W122+W95+W66+W40</f>
        <v>#REF!</v>
      </c>
      <c r="X132" s="73" t="e">
        <f>#REF!+X122+X95+X66+X40</f>
        <v>#REF!</v>
      </c>
      <c r="Y132" s="92"/>
      <c r="Z132" s="93"/>
      <c r="AA132" s="93"/>
      <c r="AB132" s="93"/>
      <c r="AC132" s="93"/>
      <c r="AD132" s="103"/>
      <c r="AE132" s="103"/>
    </row>
    <row r="133" spans="1:31" s="85" customFormat="1" ht="15" customHeight="1">
      <c r="A133" s="24"/>
      <c r="B133" s="149" t="s">
        <v>43</v>
      </c>
      <c r="C133" s="150"/>
      <c r="D133" s="151"/>
      <c r="E133" s="29">
        <f>E132/4</f>
        <v>126.86499999999998</v>
      </c>
      <c r="F133" s="29">
        <f aca="true" t="shared" si="32" ref="F133:T133">F132/4</f>
        <v>112.07749999999999</v>
      </c>
      <c r="G133" s="29">
        <f t="shared" si="32"/>
        <v>53.96507998638529</v>
      </c>
      <c r="H133" s="29">
        <f t="shared" si="32"/>
        <v>41.84762096774193</v>
      </c>
      <c r="I133" s="29">
        <f t="shared" si="32"/>
        <v>63.536538461538456</v>
      </c>
      <c r="J133" s="29">
        <f t="shared" si="32"/>
        <v>48.09293548387097</v>
      </c>
      <c r="K133" s="29">
        <f t="shared" si="32"/>
        <v>258.9467648059905</v>
      </c>
      <c r="L133" s="29">
        <f t="shared" si="32"/>
        <v>212.60861155913977</v>
      </c>
      <c r="M133" s="29">
        <f t="shared" si="32"/>
        <v>1818.6350255275695</v>
      </c>
      <c r="N133" s="29">
        <f t="shared" si="32"/>
        <v>1462.3524825268819</v>
      </c>
      <c r="O133" s="83" t="e">
        <f t="shared" si="32"/>
        <v>#REF!</v>
      </c>
      <c r="P133" s="83" t="e">
        <f t="shared" si="32"/>
        <v>#REF!</v>
      </c>
      <c r="Q133" s="83" t="e">
        <f t="shared" si="32"/>
        <v>#REF!</v>
      </c>
      <c r="R133" s="83" t="e">
        <f t="shared" si="32"/>
        <v>#REF!</v>
      </c>
      <c r="S133" s="29">
        <f t="shared" si="32"/>
        <v>51.92132595870206</v>
      </c>
      <c r="T133" s="29">
        <f t="shared" si="32"/>
        <v>45.89678629032258</v>
      </c>
      <c r="U133" s="29" t="e">
        <f>U132/5</f>
        <v>#REF!</v>
      </c>
      <c r="V133" s="29" t="e">
        <f>V132/5</f>
        <v>#REF!</v>
      </c>
      <c r="W133" s="29" t="e">
        <f>W132/5</f>
        <v>#REF!</v>
      </c>
      <c r="X133" s="73" t="e">
        <f>X132/5</f>
        <v>#REF!</v>
      </c>
      <c r="Y133" s="92"/>
      <c r="Z133" s="93"/>
      <c r="AA133" s="93"/>
      <c r="AB133" s="93"/>
      <c r="AC133" s="93"/>
      <c r="AD133" s="103"/>
      <c r="AE133" s="103"/>
    </row>
    <row r="134" spans="1:14" s="16" customFormat="1" ht="15" customHeight="1">
      <c r="A134" s="24"/>
      <c r="B134" s="31"/>
      <c r="C134" s="31"/>
      <c r="D134" s="31"/>
      <c r="E134" s="31"/>
      <c r="F134" s="31"/>
      <c r="G134" s="31"/>
      <c r="H134" s="31"/>
      <c r="I134" s="31"/>
      <c r="J134" s="31"/>
      <c r="K134" s="18"/>
      <c r="L134" s="18"/>
      <c r="M134" s="32"/>
      <c r="N134" s="33"/>
    </row>
    <row r="135" spans="1:14" s="85" customFormat="1" ht="15" customHeight="1">
      <c r="A135" s="24"/>
      <c r="B135" s="31"/>
      <c r="C135" s="31"/>
      <c r="D135" s="31"/>
      <c r="E135" s="31"/>
      <c r="F135" s="38"/>
      <c r="G135" s="39"/>
      <c r="H135" s="39"/>
      <c r="I135" s="31"/>
      <c r="J135" s="94"/>
      <c r="K135" s="18"/>
      <c r="L135" s="18"/>
      <c r="M135" s="95"/>
      <c r="N135" s="94"/>
    </row>
    <row r="136" spans="1:14" s="85" customFormat="1" ht="15" customHeight="1">
      <c r="A136" s="24"/>
      <c r="B136" s="31"/>
      <c r="C136" s="31"/>
      <c r="D136" s="31"/>
      <c r="E136" s="31"/>
      <c r="F136" s="14"/>
      <c r="G136" s="14"/>
      <c r="H136" s="13"/>
      <c r="I136" s="31"/>
      <c r="J136" s="94"/>
      <c r="K136" s="18"/>
      <c r="L136" s="18"/>
      <c r="M136" s="94"/>
      <c r="N136" s="94"/>
    </row>
    <row r="137" spans="1:14" s="85" customFormat="1" ht="15" customHeight="1">
      <c r="A137" s="24"/>
      <c r="B137" s="36"/>
      <c r="C137" s="36"/>
      <c r="D137" s="36"/>
      <c r="E137" s="37"/>
      <c r="F137" s="14"/>
      <c r="G137" s="14"/>
      <c r="H137" s="13"/>
      <c r="I137" s="39"/>
      <c r="J137" s="39"/>
      <c r="K137" s="97"/>
      <c r="L137" s="97"/>
      <c r="M137" s="97"/>
      <c r="N137" s="97"/>
    </row>
    <row r="138" spans="1:14" s="16" customFormat="1" ht="15" customHeight="1">
      <c r="A138" s="24"/>
      <c r="B138" s="12" t="s">
        <v>53</v>
      </c>
      <c r="C138" s="13"/>
      <c r="D138" s="14"/>
      <c r="E138" s="14"/>
      <c r="F138" s="15"/>
      <c r="G138" s="15"/>
      <c r="H138" s="15"/>
      <c r="I138" s="13"/>
      <c r="J138" s="13" t="s">
        <v>47</v>
      </c>
      <c r="K138" s="13"/>
      <c r="L138" s="13"/>
      <c r="M138" s="33"/>
      <c r="N138" s="33"/>
    </row>
    <row r="139" spans="1:14" s="16" customFormat="1" ht="15" customHeight="1">
      <c r="A139" s="24"/>
      <c r="B139" s="12"/>
      <c r="C139" s="13"/>
      <c r="D139" s="14"/>
      <c r="E139" s="14"/>
      <c r="F139" s="13"/>
      <c r="G139" s="13"/>
      <c r="H139" s="13"/>
      <c r="I139" s="13"/>
      <c r="J139" s="13"/>
      <c r="K139" s="13"/>
      <c r="L139" s="13"/>
      <c r="M139" s="33"/>
      <c r="N139" s="33"/>
    </row>
    <row r="140" spans="1:14" s="16" customFormat="1" ht="15" customHeight="1">
      <c r="A140" s="24"/>
      <c r="B140" s="15" t="s">
        <v>106</v>
      </c>
      <c r="C140" s="15"/>
      <c r="D140" s="15"/>
      <c r="E140" s="15"/>
      <c r="F140" s="13"/>
      <c r="G140" s="12"/>
      <c r="H140" s="12"/>
      <c r="I140" s="15"/>
      <c r="J140" s="13" t="s">
        <v>104</v>
      </c>
      <c r="K140" s="13"/>
      <c r="L140" s="13"/>
      <c r="M140" s="33"/>
      <c r="N140" s="33"/>
    </row>
    <row r="141" spans="1:14" s="16" customFormat="1" ht="15" customHeight="1">
      <c r="A141" s="24"/>
      <c r="B141" s="1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33"/>
      <c r="N141" s="33"/>
    </row>
    <row r="142" spans="1:14" s="16" customFormat="1" ht="15" customHeight="1">
      <c r="A142" s="24"/>
      <c r="B142" s="104" t="s">
        <v>73</v>
      </c>
      <c r="C142" s="12"/>
      <c r="D142" s="12"/>
      <c r="E142" s="13"/>
      <c r="F142" s="98"/>
      <c r="G142" s="15"/>
      <c r="H142" s="15"/>
      <c r="I142" s="12"/>
      <c r="J142" s="104" t="s">
        <v>103</v>
      </c>
      <c r="K142" s="12"/>
      <c r="L142" s="13"/>
      <c r="M142" s="96"/>
      <c r="N142" s="96"/>
    </row>
    <row r="143" spans="1:14" s="16" customFormat="1" ht="15" customHeight="1">
      <c r="A143" s="24"/>
      <c r="B143" s="12"/>
      <c r="C143" s="13"/>
      <c r="D143" s="13"/>
      <c r="E143" s="13"/>
      <c r="F143" s="35"/>
      <c r="G143" s="35"/>
      <c r="H143" s="35"/>
      <c r="I143" s="13"/>
      <c r="J143" s="13"/>
      <c r="K143" s="13"/>
      <c r="L143" s="13"/>
      <c r="M143" s="96"/>
      <c r="N143" s="96"/>
    </row>
    <row r="144" spans="1:14" s="16" customFormat="1" ht="15" customHeight="1">
      <c r="A144" s="24" t="s">
        <v>130</v>
      </c>
      <c r="B144" s="15" t="s">
        <v>131</v>
      </c>
      <c r="C144" s="98"/>
      <c r="D144" s="98"/>
      <c r="E144" s="98"/>
      <c r="F144" s="35"/>
      <c r="G144" s="34"/>
      <c r="H144" s="34"/>
      <c r="I144" s="15"/>
      <c r="J144" s="13" t="s">
        <v>132</v>
      </c>
      <c r="L144" s="13"/>
      <c r="M144" s="96"/>
      <c r="N144" s="96"/>
    </row>
    <row r="145" spans="1:14" s="16" customFormat="1" ht="14.25">
      <c r="A145" s="24"/>
      <c r="B145" s="34"/>
      <c r="C145" s="35"/>
      <c r="D145" s="35"/>
      <c r="E145" s="35"/>
      <c r="F145" s="35"/>
      <c r="G145" s="34"/>
      <c r="H145" s="34"/>
      <c r="I145" s="35"/>
      <c r="J145" s="35"/>
      <c r="K145" s="35"/>
      <c r="L145" s="35"/>
      <c r="M145" s="35"/>
      <c r="N145" s="35"/>
    </row>
    <row r="146" spans="1:14" s="16" customFormat="1" ht="14.25">
      <c r="A146" s="24"/>
      <c r="B146" s="34"/>
      <c r="C146" s="34"/>
      <c r="D146" s="34"/>
      <c r="E146" s="35"/>
      <c r="F146" s="35"/>
      <c r="G146" s="34"/>
      <c r="H146" s="34"/>
      <c r="I146" s="34"/>
      <c r="J146" s="34"/>
      <c r="K146" s="34"/>
      <c r="L146" s="34"/>
      <c r="M146" s="96"/>
      <c r="N146" s="96"/>
    </row>
    <row r="147" spans="1:14" s="16" customFormat="1" ht="14.25">
      <c r="A147" s="24"/>
      <c r="B147" s="34"/>
      <c r="C147" s="34"/>
      <c r="D147" s="34"/>
      <c r="E147" s="35"/>
      <c r="F147" s="35"/>
      <c r="G147" s="34"/>
      <c r="H147" s="34"/>
      <c r="I147" s="34"/>
      <c r="J147" s="34"/>
      <c r="K147" s="34"/>
      <c r="L147" s="34"/>
      <c r="M147" s="96"/>
      <c r="N147" s="96"/>
    </row>
    <row r="148" spans="1:14" s="16" customFormat="1" ht="14.25">
      <c r="A148" s="24"/>
      <c r="B148" s="34"/>
      <c r="C148" s="34"/>
      <c r="D148" s="34"/>
      <c r="E148" s="35"/>
      <c r="F148" s="35"/>
      <c r="G148" s="34"/>
      <c r="H148" s="34"/>
      <c r="I148" s="34"/>
      <c r="J148" s="34"/>
      <c r="K148" s="34"/>
      <c r="L148" s="34"/>
      <c r="M148" s="96"/>
      <c r="N148" s="96"/>
    </row>
    <row r="149" spans="1:14" s="16" customFormat="1" ht="14.25">
      <c r="A149" s="24"/>
      <c r="B149" s="34"/>
      <c r="C149" s="34"/>
      <c r="D149" s="34"/>
      <c r="E149" s="35"/>
      <c r="F149" s="35"/>
      <c r="G149" s="34"/>
      <c r="H149" s="34"/>
      <c r="I149" s="34"/>
      <c r="J149" s="34"/>
      <c r="K149" s="34"/>
      <c r="L149" s="34"/>
      <c r="M149" s="96"/>
      <c r="N149" s="96"/>
    </row>
    <row r="150" spans="1:14" s="16" customFormat="1" ht="12.75">
      <c r="A150" s="24"/>
      <c r="B150" s="18"/>
      <c r="C150" s="18"/>
      <c r="D150" s="18"/>
      <c r="E150" s="19"/>
      <c r="F150" s="19"/>
      <c r="G150" s="18"/>
      <c r="H150" s="18"/>
      <c r="I150" s="18"/>
      <c r="J150" s="18"/>
      <c r="K150" s="18"/>
      <c r="L150" s="18"/>
      <c r="M150" s="18"/>
      <c r="N150" s="18"/>
    </row>
    <row r="151" spans="1:14" s="16" customFormat="1" ht="12.75">
      <c r="A151" s="24"/>
      <c r="B151" s="18"/>
      <c r="C151" s="18"/>
      <c r="D151" s="18"/>
      <c r="E151" s="19"/>
      <c r="F151" s="19"/>
      <c r="G151" s="18"/>
      <c r="H151" s="18"/>
      <c r="I151" s="18"/>
      <c r="J151" s="18"/>
      <c r="K151" s="18"/>
      <c r="L151" s="18"/>
      <c r="M151" s="18"/>
      <c r="N151" s="18"/>
    </row>
    <row r="152" spans="1:14" s="16" customFormat="1" ht="12.75">
      <c r="A152" s="24"/>
      <c r="B152" s="18"/>
      <c r="C152" s="18"/>
      <c r="D152" s="18"/>
      <c r="E152" s="19"/>
      <c r="F152" s="19"/>
      <c r="G152" s="18"/>
      <c r="H152" s="18"/>
      <c r="I152" s="18"/>
      <c r="J152" s="18"/>
      <c r="K152" s="18"/>
      <c r="L152" s="18"/>
      <c r="M152" s="18"/>
      <c r="N152" s="18"/>
    </row>
    <row r="153" spans="1:14" s="16" customFormat="1" ht="12.75">
      <c r="A153" s="24"/>
      <c r="B153" s="18"/>
      <c r="C153" s="18"/>
      <c r="D153" s="18"/>
      <c r="E153" s="19"/>
      <c r="F153" s="19"/>
      <c r="G153" s="18"/>
      <c r="H153" s="18"/>
      <c r="I153" s="18"/>
      <c r="J153" s="18"/>
      <c r="K153" s="18"/>
      <c r="L153" s="18"/>
      <c r="M153" s="18"/>
      <c r="N153" s="18"/>
    </row>
    <row r="154" spans="1:14" s="16" customFormat="1" ht="12.75">
      <c r="A154" s="24"/>
      <c r="B154" s="18"/>
      <c r="C154" s="18"/>
      <c r="D154" s="18"/>
      <c r="E154" s="19"/>
      <c r="F154" s="19"/>
      <c r="G154" s="18"/>
      <c r="H154" s="18"/>
      <c r="I154" s="18"/>
      <c r="J154" s="18"/>
      <c r="K154" s="18"/>
      <c r="L154" s="18"/>
      <c r="M154" s="18"/>
      <c r="N154" s="18"/>
    </row>
    <row r="155" spans="1:14" s="16" customFormat="1" ht="12.75">
      <c r="A155" s="24"/>
      <c r="B155" s="18"/>
      <c r="C155" s="18"/>
      <c r="D155" s="18"/>
      <c r="E155" s="19"/>
      <c r="F155" s="19"/>
      <c r="G155" s="18"/>
      <c r="H155" s="18"/>
      <c r="I155" s="18"/>
      <c r="J155" s="18"/>
      <c r="K155" s="18"/>
      <c r="L155" s="18"/>
      <c r="M155" s="18"/>
      <c r="N155" s="18"/>
    </row>
    <row r="156" spans="1:14" s="16" customFormat="1" ht="12.75">
      <c r="A156" s="24"/>
      <c r="B156" s="18"/>
      <c r="C156" s="18"/>
      <c r="D156" s="18"/>
      <c r="E156" s="19"/>
      <c r="F156" s="19"/>
      <c r="G156" s="18"/>
      <c r="H156" s="18"/>
      <c r="I156" s="18"/>
      <c r="J156" s="18"/>
      <c r="K156" s="18"/>
      <c r="L156" s="18"/>
      <c r="M156" s="18"/>
      <c r="N156" s="18"/>
    </row>
    <row r="157" spans="1:14" s="16" customFormat="1" ht="12.75">
      <c r="A157" s="24"/>
      <c r="B157" s="18"/>
      <c r="C157" s="18"/>
      <c r="D157" s="18"/>
      <c r="E157" s="19"/>
      <c r="F157" s="19"/>
      <c r="G157" s="18"/>
      <c r="H157" s="18"/>
      <c r="I157" s="18"/>
      <c r="J157" s="18"/>
      <c r="K157" s="18"/>
      <c r="L157" s="18"/>
      <c r="M157" s="18"/>
      <c r="N157" s="18"/>
    </row>
    <row r="158" spans="1:14" s="16" customFormat="1" ht="12.75">
      <c r="A158" s="24"/>
      <c r="B158" s="18"/>
      <c r="C158" s="18"/>
      <c r="D158" s="18"/>
      <c r="E158" s="19"/>
      <c r="F158" s="19"/>
      <c r="G158" s="18"/>
      <c r="H158" s="18"/>
      <c r="I158" s="18"/>
      <c r="J158" s="18"/>
      <c r="K158" s="18"/>
      <c r="L158" s="18"/>
      <c r="M158" s="18"/>
      <c r="N158" s="18"/>
    </row>
    <row r="159" spans="1:14" s="16" customFormat="1" ht="12.75">
      <c r="A159" s="24"/>
      <c r="B159" s="18"/>
      <c r="C159" s="18"/>
      <c r="D159" s="18"/>
      <c r="E159" s="19"/>
      <c r="F159" s="19"/>
      <c r="G159" s="18"/>
      <c r="H159" s="18"/>
      <c r="I159" s="18"/>
      <c r="J159" s="18"/>
      <c r="K159" s="18"/>
      <c r="L159" s="18"/>
      <c r="M159" s="18"/>
      <c r="N159" s="18"/>
    </row>
    <row r="160" spans="1:14" s="16" customFormat="1" ht="12.75">
      <c r="A160" s="24"/>
      <c r="B160" s="18"/>
      <c r="C160" s="18"/>
      <c r="D160" s="18"/>
      <c r="E160" s="19"/>
      <c r="F160" s="19"/>
      <c r="G160" s="18"/>
      <c r="H160" s="18"/>
      <c r="I160" s="18"/>
      <c r="J160" s="18"/>
      <c r="K160" s="18"/>
      <c r="L160" s="18"/>
      <c r="M160" s="18"/>
      <c r="N160" s="18"/>
    </row>
    <row r="161" spans="1:14" s="16" customFormat="1" ht="12.75">
      <c r="A161" s="24"/>
      <c r="B161" s="18"/>
      <c r="C161" s="18"/>
      <c r="D161" s="18"/>
      <c r="E161" s="19"/>
      <c r="F161" s="19"/>
      <c r="G161" s="18"/>
      <c r="H161" s="18"/>
      <c r="I161" s="18"/>
      <c r="J161" s="18"/>
      <c r="K161" s="18"/>
      <c r="L161" s="18"/>
      <c r="M161" s="18"/>
      <c r="N161" s="18"/>
    </row>
    <row r="162" spans="1:14" s="16" customFormat="1" ht="12.75">
      <c r="A162" s="24"/>
      <c r="B162" s="18"/>
      <c r="C162" s="18"/>
      <c r="D162" s="18"/>
      <c r="E162" s="19"/>
      <c r="F162" s="19"/>
      <c r="G162" s="18"/>
      <c r="H162" s="18"/>
      <c r="I162" s="18"/>
      <c r="J162" s="18"/>
      <c r="K162" s="18"/>
      <c r="L162" s="18"/>
      <c r="M162" s="18"/>
      <c r="N162" s="18"/>
    </row>
    <row r="163" spans="1:14" s="16" customFormat="1" ht="12.75">
      <c r="A163" s="24"/>
      <c r="B163" s="18"/>
      <c r="C163" s="18"/>
      <c r="D163" s="18"/>
      <c r="E163" s="19"/>
      <c r="F163" s="19"/>
      <c r="G163" s="18"/>
      <c r="H163" s="18"/>
      <c r="I163" s="18"/>
      <c r="J163" s="18"/>
      <c r="K163" s="18"/>
      <c r="L163" s="18"/>
      <c r="M163" s="18"/>
      <c r="N163" s="18"/>
    </row>
    <row r="164" spans="1:14" s="16" customFormat="1" ht="12.75">
      <c r="A164" s="24"/>
      <c r="B164" s="18"/>
      <c r="C164" s="18"/>
      <c r="D164" s="18"/>
      <c r="E164" s="19"/>
      <c r="F164" s="19"/>
      <c r="G164" s="18"/>
      <c r="H164" s="18"/>
      <c r="I164" s="18"/>
      <c r="J164" s="18"/>
      <c r="K164" s="18"/>
      <c r="L164" s="18"/>
      <c r="M164" s="18"/>
      <c r="N164" s="18"/>
    </row>
    <row r="165" spans="1:14" s="16" customFormat="1" ht="12.75">
      <c r="A165" s="24"/>
      <c r="B165" s="18"/>
      <c r="C165" s="18"/>
      <c r="D165" s="18"/>
      <c r="E165" s="19"/>
      <c r="F165" s="19"/>
      <c r="G165" s="18"/>
      <c r="H165" s="18"/>
      <c r="I165" s="18"/>
      <c r="J165" s="18"/>
      <c r="K165" s="18"/>
      <c r="L165" s="18"/>
      <c r="M165" s="18"/>
      <c r="N165" s="18"/>
    </row>
    <row r="166" spans="1:14" s="16" customFormat="1" ht="12.75">
      <c r="A166" s="24"/>
      <c r="B166" s="18"/>
      <c r="C166" s="18"/>
      <c r="D166" s="18"/>
      <c r="E166" s="19"/>
      <c r="F166" s="19"/>
      <c r="G166" s="18"/>
      <c r="H166" s="18"/>
      <c r="I166" s="18"/>
      <c r="J166" s="18"/>
      <c r="K166" s="18"/>
      <c r="L166" s="18"/>
      <c r="M166" s="18"/>
      <c r="N166" s="18"/>
    </row>
    <row r="167" spans="1:14" s="16" customFormat="1" ht="12.75">
      <c r="A167" s="24"/>
      <c r="B167" s="18"/>
      <c r="C167" s="18"/>
      <c r="D167" s="18"/>
      <c r="E167" s="19"/>
      <c r="F167" s="19"/>
      <c r="G167" s="18"/>
      <c r="H167" s="18"/>
      <c r="I167" s="18"/>
      <c r="J167" s="18"/>
      <c r="K167" s="18"/>
      <c r="L167" s="18"/>
      <c r="M167" s="18"/>
      <c r="N167" s="18"/>
    </row>
    <row r="168" spans="1:14" s="16" customFormat="1" ht="12.75">
      <c r="A168" s="24"/>
      <c r="B168" s="18"/>
      <c r="C168" s="18"/>
      <c r="D168" s="18"/>
      <c r="E168" s="19"/>
      <c r="F168" s="19"/>
      <c r="G168" s="18"/>
      <c r="H168" s="18"/>
      <c r="I168" s="18"/>
      <c r="J168" s="18"/>
      <c r="K168" s="18"/>
      <c r="L168" s="18"/>
      <c r="M168" s="18"/>
      <c r="N168" s="18"/>
    </row>
    <row r="169" spans="1:14" s="16" customFormat="1" ht="12.75">
      <c r="A169" s="24"/>
      <c r="B169" s="18"/>
      <c r="C169" s="18"/>
      <c r="D169" s="18"/>
      <c r="E169" s="19"/>
      <c r="F169" s="19"/>
      <c r="G169" s="18"/>
      <c r="H169" s="18"/>
      <c r="I169" s="18"/>
      <c r="J169" s="18"/>
      <c r="K169" s="18"/>
      <c r="L169" s="18"/>
      <c r="M169" s="18"/>
      <c r="N169" s="18"/>
    </row>
    <row r="170" spans="1:14" s="16" customFormat="1" ht="12.75">
      <c r="A170" s="24"/>
      <c r="B170" s="18"/>
      <c r="C170" s="18"/>
      <c r="D170" s="18"/>
      <c r="E170" s="19"/>
      <c r="F170" s="19"/>
      <c r="G170" s="18"/>
      <c r="H170" s="18"/>
      <c r="I170" s="18"/>
      <c r="J170" s="18"/>
      <c r="K170" s="18"/>
      <c r="L170" s="18"/>
      <c r="M170" s="18"/>
      <c r="N170" s="18"/>
    </row>
    <row r="171" spans="1:14" s="16" customFormat="1" ht="12.75">
      <c r="A171" s="24"/>
      <c r="B171" s="18"/>
      <c r="C171" s="18"/>
      <c r="D171" s="18"/>
      <c r="E171" s="19"/>
      <c r="F171" s="19"/>
      <c r="G171" s="18"/>
      <c r="H171" s="18"/>
      <c r="I171" s="18"/>
      <c r="J171" s="18"/>
      <c r="K171" s="18"/>
      <c r="L171" s="18"/>
      <c r="M171" s="18"/>
      <c r="N171" s="18"/>
    </row>
    <row r="172" spans="1:14" s="16" customFormat="1" ht="12.75">
      <c r="A172" s="24"/>
      <c r="B172" s="18"/>
      <c r="C172" s="18"/>
      <c r="D172" s="18"/>
      <c r="E172" s="19"/>
      <c r="F172" s="19"/>
      <c r="G172" s="18"/>
      <c r="H172" s="18"/>
      <c r="I172" s="18"/>
      <c r="J172" s="18"/>
      <c r="K172" s="18"/>
      <c r="L172" s="18"/>
      <c r="M172" s="18"/>
      <c r="N172" s="18"/>
    </row>
    <row r="173" spans="1:14" s="16" customFormat="1" ht="12.75">
      <c r="A173" s="24"/>
      <c r="B173" s="18"/>
      <c r="C173" s="18"/>
      <c r="D173" s="18"/>
      <c r="E173" s="19"/>
      <c r="F173" s="19"/>
      <c r="G173" s="18"/>
      <c r="H173" s="18"/>
      <c r="I173" s="18"/>
      <c r="J173" s="18"/>
      <c r="K173" s="18"/>
      <c r="L173" s="18"/>
      <c r="M173" s="18"/>
      <c r="N173" s="18"/>
    </row>
    <row r="174" spans="1:14" s="16" customFormat="1" ht="12.75">
      <c r="A174" s="24"/>
      <c r="B174" s="18"/>
      <c r="C174" s="18"/>
      <c r="D174" s="18"/>
      <c r="E174" s="19"/>
      <c r="F174" s="19"/>
      <c r="G174" s="18"/>
      <c r="H174" s="18"/>
      <c r="I174" s="18"/>
      <c r="J174" s="18"/>
      <c r="K174" s="18"/>
      <c r="L174" s="18"/>
      <c r="M174" s="18"/>
      <c r="N174" s="18"/>
    </row>
  </sheetData>
  <sheetProtection/>
  <mergeCells count="34">
    <mergeCell ref="K130:L130"/>
    <mergeCell ref="M129:N130"/>
    <mergeCell ref="S130:T130"/>
    <mergeCell ref="Q130:R130"/>
    <mergeCell ref="I11:J11"/>
    <mergeCell ref="K11:L11"/>
    <mergeCell ref="G10:L10"/>
    <mergeCell ref="M10:N11"/>
    <mergeCell ref="S11:T11"/>
    <mergeCell ref="G11:H11"/>
    <mergeCell ref="U10:X10"/>
    <mergeCell ref="M4:N4"/>
    <mergeCell ref="O10:T10"/>
    <mergeCell ref="Q11:R11"/>
    <mergeCell ref="U129:X129"/>
    <mergeCell ref="U130:V130"/>
    <mergeCell ref="W130:X130"/>
    <mergeCell ref="W11:X11"/>
    <mergeCell ref="U11:V11"/>
    <mergeCell ref="A8:X8"/>
    <mergeCell ref="A10:A11"/>
    <mergeCell ref="B10:B11"/>
    <mergeCell ref="C10:D11"/>
    <mergeCell ref="E10:F11"/>
    <mergeCell ref="O130:P130"/>
    <mergeCell ref="O129:T129"/>
    <mergeCell ref="O11:P11"/>
    <mergeCell ref="B133:D133"/>
    <mergeCell ref="B129:D131"/>
    <mergeCell ref="E129:F130"/>
    <mergeCell ref="I130:J130"/>
    <mergeCell ref="G129:L129"/>
    <mergeCell ref="G130:H130"/>
    <mergeCell ref="B132:D132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2019-02-26T12:17:38Z</cp:lastPrinted>
  <dcterms:created xsi:type="dcterms:W3CDTF">2010-07-29T06:39:54Z</dcterms:created>
  <dcterms:modified xsi:type="dcterms:W3CDTF">2019-02-27T08:59:41Z</dcterms:modified>
  <cp:category/>
  <cp:version/>
  <cp:contentType/>
  <cp:contentStatus/>
</cp:coreProperties>
</file>